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Работы" sheetId="1" r:id="rId1"/>
    <sheet name="Ресурсы" sheetId="2" r:id="rId2"/>
  </sheets>
  <definedNames>
    <definedName name="_xlnm.Print_Titles" localSheetId="0">'Работы'!$3:$3</definedName>
    <definedName name="_xlnm.Print_Titles" localSheetId="1">'Ресурсы'!$3:$3</definedName>
  </definedNames>
  <calcPr fullCalcOnLoad="1"/>
</workbook>
</file>

<file path=xl/sharedStrings.xml><?xml version="1.0" encoding="utf-8"?>
<sst xmlns="http://schemas.openxmlformats.org/spreadsheetml/2006/main" count="218" uniqueCount="162">
  <si>
    <t>№пп</t>
  </si>
  <si>
    <t>Работа</t>
  </si>
  <si>
    <t>Измеритель</t>
  </si>
  <si>
    <t>Кол-во ед. изм.</t>
  </si>
  <si>
    <t>Перио- дичность в год</t>
  </si>
  <si>
    <t>Труд. ресурсы, руб.</t>
  </si>
  <si>
    <t>Матер. ресурсы, руб.</t>
  </si>
  <si>
    <t>Маш. мех., руб.</t>
  </si>
  <si>
    <t>Накл. расходы, руб.</t>
  </si>
  <si>
    <t>Прибыль, руб.</t>
  </si>
  <si>
    <t>Расходы на управ., руб.</t>
  </si>
  <si>
    <t>Стоимость, руб.</t>
  </si>
  <si>
    <t>Стоимость на кв.м. в мес., руб.</t>
  </si>
  <si>
    <t>Общ. площ.,кв.м.</t>
  </si>
  <si>
    <t>Внутридомовое инженерное оборудование и технические устройства</t>
  </si>
  <si>
    <t>Техническое обслуживание внутридомовых газопроводов диаметром 25-50 мм</t>
  </si>
  <si>
    <t>100 пог. м.</t>
  </si>
  <si>
    <t>Техническое  обслуживание электрического  запирающего устройства (домофон)</t>
  </si>
  <si>
    <t>1 устройство</t>
  </si>
  <si>
    <t>Укрепление водосточных труб, колен, воронок с лестниц или подмостей</t>
  </si>
  <si>
    <t>1 ухват</t>
  </si>
  <si>
    <t>Осмотр территории вокруг здания и фундамента</t>
  </si>
  <si>
    <t>1000 кв.м. общей площади</t>
  </si>
  <si>
    <t>Осмотр железобетонных перекрытий</t>
  </si>
  <si>
    <t>1000 кв.м. полов</t>
  </si>
  <si>
    <t>Осмотр железобетонных покрытий</t>
  </si>
  <si>
    <t>Осмотр внутренней отделки стен</t>
  </si>
  <si>
    <t>Осмотр заполнения дверных и оконных проемов</t>
  </si>
  <si>
    <t>Осмотр всех элементов стальных кровель, водостоков</t>
  </si>
  <si>
    <t>1000 кв.м. кровли</t>
  </si>
  <si>
    <t>Проверка исправности  канализационных  вытяжек</t>
  </si>
  <si>
    <t>Проверка наличия тяги в  дымовентиляционных каналах</t>
  </si>
  <si>
    <t>Проведение технических осмотров и устранение незначительных неисправностей в системе вентиляции</t>
  </si>
  <si>
    <t>Осмотр  электросети, арматуры, электрооборудования на лестничных клетках</t>
  </si>
  <si>
    <t>100 лестничных площадок</t>
  </si>
  <si>
    <t>Проверка изоляции электропроводки и ее укрепление</t>
  </si>
  <si>
    <t>100 м</t>
  </si>
  <si>
    <t>Проверка заземления оболочки электрокабеля</t>
  </si>
  <si>
    <t>Замеры сопротивления изоляции проводов</t>
  </si>
  <si>
    <t xml:space="preserve">измерение 1         </t>
  </si>
  <si>
    <t>Визуальный осмотр узла учета и проверка наличия и нарушения пломб (прибор учета воды диаметром 25-40 мм)</t>
  </si>
  <si>
    <t>1 прибор учета</t>
  </si>
  <si>
    <t>Проверка работоспособности запорной арматуры и очистка фильтров (приборов учета воды диаметром 25-40 мм)</t>
  </si>
  <si>
    <t>1 фильтр</t>
  </si>
  <si>
    <t>При отказе или неисправной работе прибора учета воды диаметром 25-40 мм - поиск неисправностей</t>
  </si>
  <si>
    <t>Итого по разделу:</t>
  </si>
  <si>
    <t>Санитарное содержание мест общего пользования, благоустройство придомовой территории и прочие работы</t>
  </si>
  <si>
    <t>Подметание лестничных площадок и маршей нижних трех этажей с предварительным их увлажнением (в доме без лифтов и мусоропровода)</t>
  </si>
  <si>
    <t>100 м2 убираемой  площади</t>
  </si>
  <si>
    <t>Протирка пыли  с подоконников в помещениях общего  пользования</t>
  </si>
  <si>
    <t xml:space="preserve">100 м2 подоконников </t>
  </si>
  <si>
    <t>Мытье и протирка дверей  в помещениях общего пользования</t>
  </si>
  <si>
    <t>100 м2 дверей</t>
  </si>
  <si>
    <t>Мытье и протирка оконных рам и переплетов в помещениях общего пользования</t>
  </si>
  <si>
    <t>100 м2 оконных рам</t>
  </si>
  <si>
    <t>Мытье и протирка легкодоступных стекол в окнах  в помещениях общего пользования</t>
  </si>
  <si>
    <t>100 м2 окон</t>
  </si>
  <si>
    <t>Влажная протирка почтовых ящиков (с моющим средством)</t>
  </si>
  <si>
    <t>100 кв.м почтовых ящиков</t>
  </si>
  <si>
    <t>Влажная протирка шкафов для электросчетчиков слаботочных устройств  (с моющим средством)</t>
  </si>
  <si>
    <t>100 кв. м шкафов для электросчетчиков слаботочных устройств</t>
  </si>
  <si>
    <t>Влажная протирка перил лестниц (с моющим средством)</t>
  </si>
  <si>
    <t>100 кв.м. перил лестниц</t>
  </si>
  <si>
    <t>Влажная протирка стен (с моющим средством)</t>
  </si>
  <si>
    <t>100 кв. м стен</t>
  </si>
  <si>
    <t>Обметание пыли с потолков</t>
  </si>
  <si>
    <t>100 кв. м. потолков</t>
  </si>
  <si>
    <t>Подметание в летний период  земельного участка с усовершенствованным покрытием 1 класса</t>
  </si>
  <si>
    <t>1 000 кв.м. территории</t>
  </si>
  <si>
    <t>Уборка детских и спортивных площадок</t>
  </si>
  <si>
    <t>1000 кв.м.</t>
  </si>
  <si>
    <t>Сдвижка и подметание снега при отсутствии снегопада на придомовой территории с усовершенствованным покрытием 1 класса</t>
  </si>
  <si>
    <t>10 000 кв.м. территории</t>
  </si>
  <si>
    <t>Очистка от наледи и льда водосточных труб</t>
  </si>
  <si>
    <t>1 шт</t>
  </si>
  <si>
    <t>Очистка кровли от снега, сбивание сосулек (при толщине слоя до 10 см)</t>
  </si>
  <si>
    <t>100 кв.м. кровли</t>
  </si>
  <si>
    <t>Очистка кровли от мусора, листьев</t>
  </si>
  <si>
    <t>100 кв.м кровли</t>
  </si>
  <si>
    <t>Уборка крыльца и площадки перед входом в подъезд (в холодный период года)</t>
  </si>
  <si>
    <t>100 кв.м</t>
  </si>
  <si>
    <t>Уборка крыльца и площадки перед входом в подъезд (в теплый период года)</t>
  </si>
  <si>
    <t>Мытье ступеней и площадок перед входом в подъезд</t>
  </si>
  <si>
    <t>ИТОГО ПО СМЕТЕ:</t>
  </si>
  <si>
    <t>ИТОГО ПО СМЕТЕ</t>
  </si>
  <si>
    <t>Трудовые ресурсы, руб.:</t>
  </si>
  <si>
    <t>Накладные расходы, руб.:</t>
  </si>
  <si>
    <t>Материальные ресурсы, руб.:</t>
  </si>
  <si>
    <t>Прибыль, руб.:</t>
  </si>
  <si>
    <t>Машины/механизмы, руб.:</t>
  </si>
  <si>
    <t>Расходы на управление, руб.:</t>
  </si>
  <si>
    <t>ИТОГО, руб.:</t>
  </si>
  <si>
    <t>Смета расходов. Стоимость и количество ресурсов.</t>
  </si>
  <si>
    <t>Ресурс</t>
  </si>
  <si>
    <t>Ед. измерения</t>
  </si>
  <si>
    <t>Цена, руб.</t>
  </si>
  <si>
    <t>Трудовые ресурсы</t>
  </si>
  <si>
    <t>Бетонщик 4 разряда</t>
  </si>
  <si>
    <t>чел.-час</t>
  </si>
  <si>
    <t>Дворник 1 разряда</t>
  </si>
  <si>
    <t>Каменщик 3 разряда</t>
  </si>
  <si>
    <t>Кровельщик по стальным кровлям 2 разряда</t>
  </si>
  <si>
    <t>Кровельщик по стальным кровлям 3 разряда</t>
  </si>
  <si>
    <t>Кровельщик по стальным кровлям 4 разряда</t>
  </si>
  <si>
    <t>Монтажник санитарно-технических систем и оборудования 4 разряда</t>
  </si>
  <si>
    <t>Наладчик контрольно-измерительных приборов и автоматики 4 разряда</t>
  </si>
  <si>
    <t>Подсобный рабочий 1 разряда</t>
  </si>
  <si>
    <t>Рабочий по комплексному обслуживанию и ремонту зданий 2 разряда</t>
  </si>
  <si>
    <t>Рабочий по комплексному обслуживанию и ремонту зданий 4 разряда</t>
  </si>
  <si>
    <t>Слесарь по эксплуатации и ремонту газового оборудования 2 разряда</t>
  </si>
  <si>
    <t>Слесарь по эксплуатации и ремонту газового оборудования 3 разряда</t>
  </si>
  <si>
    <t>Слесарь-ремонтник 3 разряда</t>
  </si>
  <si>
    <t>Стеклопротирщик 2 разряда</t>
  </si>
  <si>
    <t>Столяр строительный 4 разряда</t>
  </si>
  <si>
    <t>Электромонтер по ремонту и обслуживанию электрооборудования 3 разряда</t>
  </si>
  <si>
    <t>Электромонтер по ремонту и обслуживанию электрооборудования 4 разряда</t>
  </si>
  <si>
    <t>ИТОГО:</t>
  </si>
  <si>
    <t>Материальные ресурсы</t>
  </si>
  <si>
    <t>Ацетон технический, сорт первый</t>
  </si>
  <si>
    <t>т</t>
  </si>
  <si>
    <t>Бязь суровая арт. 6804</t>
  </si>
  <si>
    <t>10 м2</t>
  </si>
  <si>
    <t>Ветошь</t>
  </si>
  <si>
    <t>кг</t>
  </si>
  <si>
    <t>Вода водопроводная</t>
  </si>
  <si>
    <t>м3</t>
  </si>
  <si>
    <t>Краски масляные и алкидные, готовые к применению белила литопонные: МА-22</t>
  </si>
  <si>
    <t xml:space="preserve">Лента изоляционная прорезиненная односторонняя ширина 20 мм, толщина 0,25-0,35 мм </t>
  </si>
  <si>
    <t xml:space="preserve">Лента киперная </t>
  </si>
  <si>
    <t>Мешки полиэтиленовые, 60 л</t>
  </si>
  <si>
    <t>1000 шт.</t>
  </si>
  <si>
    <t>Моющее средство</t>
  </si>
  <si>
    <t>Мыло</t>
  </si>
  <si>
    <t>Мыло твердое хозяйственное 72%</t>
  </si>
  <si>
    <t>шт.</t>
  </si>
  <si>
    <t>Мыльный раствор</t>
  </si>
  <si>
    <t>л</t>
  </si>
  <si>
    <t>Олифа комбинированная К-3</t>
  </si>
  <si>
    <t>Пробки деревянные 100 мм, длина 100 мм</t>
  </si>
  <si>
    <t>Проволока светлая диаметром 3,0 мм</t>
  </si>
  <si>
    <t>Раствор готовый кладочный цементный М25</t>
  </si>
  <si>
    <t>Смазка солидол жировой Ж</t>
  </si>
  <si>
    <t xml:space="preserve">Спирт этиловый ректификованный технический, сорт I </t>
  </si>
  <si>
    <t>Ткань мешочная</t>
  </si>
  <si>
    <t>Ухват (стремена, кронштейн, держатель) для водосточных труб</t>
  </si>
  <si>
    <t>Хомут для крепления траверс окрашенный (применяется вместо п.2)</t>
  </si>
  <si>
    <t>Специнвентарь</t>
  </si>
  <si>
    <t>Ведро  оцинкованное, 12 л</t>
  </si>
  <si>
    <t xml:space="preserve">Веник обыкновенный </t>
  </si>
  <si>
    <t>Лопата совковая</t>
  </si>
  <si>
    <t>Лопата штыковая</t>
  </si>
  <si>
    <t>Метла березовая</t>
  </si>
  <si>
    <t>Скребок-ледоруб</t>
  </si>
  <si>
    <t>Совок металлический</t>
  </si>
  <si>
    <t>Щетка д/пола 280 мм с черенком на резьбе 1,2 м.</t>
  </si>
  <si>
    <t xml:space="preserve">Щетка для мытья окон </t>
  </si>
  <si>
    <t>Смета расходов на содержание общего имущества многоквартирного дома</t>
  </si>
  <si>
    <t>Заместитель главы</t>
  </si>
  <si>
    <t>Новокубанского городского</t>
  </si>
  <si>
    <t>поселения Новокубанского района</t>
  </si>
  <si>
    <t>А.В. Кузьмин</t>
  </si>
  <si>
    <t>Лот № 5 - МКД по ул. Рождественская 8 г. Новокубанске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</si>
</sst>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9"/>
      <color indexed="8"/>
      <name val="Arial"/>
      <family val="0"/>
    </font>
    <font>
      <b/>
      <sz val="18"/>
      <color indexed="10"/>
      <name val="Arial"/>
      <family val="0"/>
    </font>
    <font>
      <b/>
      <sz val="10"/>
      <color indexed="9"/>
      <name val="Arial"/>
      <family val="0"/>
    </font>
    <font>
      <b/>
      <sz val="14"/>
      <color indexed="12"/>
      <name val="Arial"/>
      <family val="0"/>
    </font>
    <font>
      <b/>
      <sz val="11"/>
      <color indexed="13"/>
      <name val="Arial"/>
      <family val="0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4"/>
      <color indexed="13"/>
      <name val="Arial"/>
      <family val="0"/>
    </font>
    <font>
      <b/>
      <sz val="18"/>
      <color indexed="17"/>
      <name val="Courier"/>
      <family val="0"/>
    </font>
    <font>
      <b/>
      <sz val="10"/>
      <color indexed="9"/>
      <name val="Courier"/>
      <family val="0"/>
    </font>
    <font>
      <b/>
      <sz val="12"/>
      <color indexed="17"/>
      <name val="Courier"/>
      <family val="0"/>
    </font>
    <font>
      <b/>
      <sz val="9"/>
      <color indexed="17"/>
      <name val="Arial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8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n">
        <color indexed="9"/>
      </right>
      <top style="thick">
        <color indexed="8"/>
      </top>
      <bottom style="thick">
        <color indexed="8"/>
      </bottom>
    </border>
    <border>
      <left style="thin">
        <color indexed="9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56"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0" fontId="0" fillId="0" borderId="13" xfId="0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right" vertical="center" wrapText="1"/>
      <protection/>
    </xf>
    <xf numFmtId="4" fontId="0" fillId="0" borderId="13" xfId="0" applyNumberFormat="1" applyFill="1" applyBorder="1" applyAlignment="1" applyProtection="1">
      <alignment horizontal="right" vertical="center" wrapText="1"/>
      <protection/>
    </xf>
    <xf numFmtId="4" fontId="0" fillId="0" borderId="14" xfId="0" applyNumberFormat="1" applyFill="1" applyBorder="1" applyAlignment="1" applyProtection="1">
      <alignment horizontal="right" vertical="center" wrapText="1"/>
      <protection/>
    </xf>
    <xf numFmtId="4" fontId="7" fillId="34" borderId="17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4" fontId="0" fillId="0" borderId="18" xfId="0" applyNumberFormat="1" applyFill="1" applyBorder="1" applyAlignment="1" applyProtection="1">
      <alignment horizontal="right" vertical="center" wrapText="1"/>
      <protection/>
    </xf>
    <xf numFmtId="4" fontId="0" fillId="0" borderId="19" xfId="0" applyNumberFormat="1" applyFill="1" applyBorder="1" applyAlignment="1" applyProtection="1">
      <alignment horizontal="right" vertical="center" wrapText="1"/>
      <protection/>
    </xf>
    <xf numFmtId="4" fontId="0" fillId="0" borderId="20" xfId="0" applyNumberFormat="1" applyFill="1" applyBorder="1" applyAlignment="1" applyProtection="1">
      <alignment horizontal="right" vertical="center" wrapText="1"/>
      <protection/>
    </xf>
    <xf numFmtId="4" fontId="6" fillId="35" borderId="21" xfId="0" applyNumberFormat="1" applyFont="1" applyFill="1" applyBorder="1" applyAlignment="1" applyProtection="1">
      <alignment horizontal="right" vertical="center" wrapText="1"/>
      <protection/>
    </xf>
    <xf numFmtId="4" fontId="6" fillId="35" borderId="22" xfId="0" applyNumberFormat="1" applyFont="1" applyFill="1" applyBorder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0" fillId="36" borderId="23" xfId="0" applyFont="1" applyFill="1" applyBorder="1" applyAlignment="1" applyProtection="1">
      <alignment horizontal="center" vertical="center" wrapText="1"/>
      <protection/>
    </xf>
    <xf numFmtId="0" fontId="10" fillId="36" borderId="24" xfId="0" applyFont="1" applyFill="1" applyBorder="1" applyAlignment="1" applyProtection="1">
      <alignment horizontal="center" vertical="center" wrapText="1"/>
      <protection/>
    </xf>
    <xf numFmtId="0" fontId="10" fillId="36" borderId="25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 applyProtection="1">
      <alignment horizontal="right" vertical="center" wrapText="1"/>
      <protection/>
    </xf>
    <xf numFmtId="4" fontId="0" fillId="0" borderId="28" xfId="0" applyNumberFormat="1" applyFill="1" applyBorder="1" applyAlignment="1" applyProtection="1">
      <alignment horizontal="right" vertical="center" wrapText="1"/>
      <protection/>
    </xf>
    <xf numFmtId="4" fontId="0" fillId="0" borderId="29" xfId="0" applyNumberFormat="1" applyFill="1" applyBorder="1" applyAlignment="1" applyProtection="1">
      <alignment horizontal="right" vertical="center" wrapText="1"/>
      <protection/>
    </xf>
    <xf numFmtId="4" fontId="0" fillId="0" borderId="30" xfId="0" applyNumberFormat="1" applyFill="1" applyBorder="1" applyAlignment="1" applyProtection="1">
      <alignment horizontal="right" vertical="center" wrapText="1"/>
      <protection/>
    </xf>
    <xf numFmtId="4" fontId="12" fillId="0" borderId="31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" fontId="0" fillId="0" borderId="0" xfId="0" applyNumberFormat="1" applyFill="1" applyAlignment="1" applyProtection="1">
      <alignment horizontal="left" vertical="center" wrapText="1"/>
      <protection/>
    </xf>
    <xf numFmtId="4" fontId="4" fillId="0" borderId="0" xfId="0" applyNumberFormat="1" applyFont="1" applyFill="1" applyAlignment="1" applyProtection="1">
      <alignment horizontal="right" vertical="center" wrapText="1"/>
      <protection/>
    </xf>
    <xf numFmtId="0" fontId="5" fillId="37" borderId="33" xfId="0" applyFont="1" applyFill="1" applyBorder="1" applyAlignment="1" applyProtection="1">
      <alignment horizontal="left" vertical="center" wrapText="1"/>
      <protection/>
    </xf>
    <xf numFmtId="0" fontId="5" fillId="37" borderId="34" xfId="0" applyFont="1" applyFill="1" applyBorder="1" applyAlignment="1" applyProtection="1">
      <alignment horizontal="left" vertical="center" wrapText="1"/>
      <protection/>
    </xf>
    <xf numFmtId="4" fontId="5" fillId="37" borderId="34" xfId="0" applyNumberFormat="1" applyFont="1" applyFill="1" applyBorder="1" applyAlignment="1" applyProtection="1">
      <alignment horizontal="left" vertical="center" wrapText="1"/>
      <protection/>
    </xf>
    <xf numFmtId="4" fontId="5" fillId="37" borderId="35" xfId="0" applyNumberFormat="1" applyFont="1" applyFill="1" applyBorder="1" applyAlignment="1" applyProtection="1">
      <alignment horizontal="left" vertical="center" wrapText="1"/>
      <protection/>
    </xf>
    <xf numFmtId="0" fontId="6" fillId="34" borderId="36" xfId="0" applyFont="1" applyFill="1" applyBorder="1" applyAlignment="1" applyProtection="1">
      <alignment horizontal="left" vertical="center" wrapText="1"/>
      <protection/>
    </xf>
    <xf numFmtId="0" fontId="6" fillId="34" borderId="17" xfId="0" applyFont="1" applyFill="1" applyBorder="1" applyAlignment="1" applyProtection="1">
      <alignment horizontal="left" vertical="center" wrapText="1"/>
      <protection/>
    </xf>
    <xf numFmtId="0" fontId="6" fillId="35" borderId="37" xfId="0" applyFont="1" applyFill="1" applyBorder="1" applyAlignment="1" applyProtection="1">
      <alignment horizontal="right" vertical="center" wrapText="1"/>
      <protection/>
    </xf>
    <xf numFmtId="0" fontId="6" fillId="35" borderId="21" xfId="0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right" vertical="center" wrapText="1"/>
      <protection/>
    </xf>
    <xf numFmtId="4" fontId="4" fillId="0" borderId="0" xfId="0" applyNumberFormat="1" applyFont="1" applyFill="1" applyAlignment="1" applyProtection="1">
      <alignment horizontal="left" vertical="center" wrapText="1"/>
      <protection/>
    </xf>
    <xf numFmtId="0" fontId="12" fillId="0" borderId="38" xfId="0" applyFont="1" applyFill="1" applyBorder="1" applyAlignment="1" applyProtection="1">
      <alignment horizontal="left" vertical="center" wrapText="1"/>
      <protection/>
    </xf>
    <xf numFmtId="0" fontId="12" fillId="0" borderId="39" xfId="0" applyFont="1" applyFill="1" applyBorder="1" applyAlignment="1" applyProtection="1">
      <alignment horizontal="left" vertical="center" wrapText="1"/>
      <protection/>
    </xf>
    <xf numFmtId="4" fontId="12" fillId="0" borderId="39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7474F"/>
      <rgbColor rgb="00546E7A"/>
      <rgbColor rgb="00E65100"/>
      <rgbColor rgb="00455A64"/>
      <rgbColor rgb="00CFD8DC"/>
      <rgbColor rgb="00ECEFF1"/>
      <rgbColor rgb="00FFE0B2"/>
      <rgbColor rgb="00600000"/>
      <rgbColor rgb="004682B4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61"/>
  <sheetViews>
    <sheetView tabSelected="1" workbookViewId="0" topLeftCell="B1">
      <selection activeCell="L54" sqref="L54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50.00390625" style="0" customWidth="1"/>
    <col min="4" max="4" width="18.00390625" style="0" customWidth="1"/>
    <col min="5" max="5" width="15.00390625" style="0" customWidth="1"/>
    <col min="6" max="6" width="12.00390625" style="0" customWidth="1"/>
    <col min="7" max="12" width="13.00390625" style="0" customWidth="1"/>
    <col min="13" max="13" width="15.00390625" style="0" customWidth="1"/>
    <col min="14" max="14" width="18.140625" style="0" customWidth="1"/>
  </cols>
  <sheetData>
    <row r="1" spans="2:14" ht="23.25">
      <c r="B1" s="36" t="s">
        <v>156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"/>
    </row>
    <row r="3" spans="2:14" ht="54.75" customHeight="1"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  <c r="M3" s="3" t="s">
        <v>11</v>
      </c>
      <c r="N3" s="4" t="s">
        <v>12</v>
      </c>
    </row>
    <row r="4" spans="2:14" ht="24.75" customHeight="1">
      <c r="B4" s="37" t="s">
        <v>161</v>
      </c>
      <c r="C4" s="38"/>
      <c r="D4" s="38"/>
      <c r="E4" s="38"/>
      <c r="F4" s="38"/>
      <c r="G4" s="39"/>
      <c r="H4" s="39"/>
      <c r="I4" s="39"/>
      <c r="J4" s="39"/>
      <c r="K4" s="39"/>
      <c r="L4" s="40" t="s">
        <v>13</v>
      </c>
      <c r="M4" s="40"/>
      <c r="N4" s="16">
        <v>839.9</v>
      </c>
    </row>
    <row r="5" spans="2:14" ht="21.75" customHeight="1">
      <c r="B5" s="41" t="s">
        <v>14</v>
      </c>
      <c r="C5" s="42"/>
      <c r="D5" s="42"/>
      <c r="E5" s="42"/>
      <c r="F5" s="42"/>
      <c r="G5" s="43"/>
      <c r="H5" s="43"/>
      <c r="I5" s="43"/>
      <c r="J5" s="43"/>
      <c r="K5" s="43"/>
      <c r="L5" s="43"/>
      <c r="M5" s="43"/>
      <c r="N5" s="44"/>
    </row>
    <row r="6" spans="2:14" ht="24">
      <c r="B6" s="8">
        <v>1</v>
      </c>
      <c r="C6" s="6" t="s">
        <v>15</v>
      </c>
      <c r="D6" s="6" t="s">
        <v>16</v>
      </c>
      <c r="E6" s="10">
        <v>1</v>
      </c>
      <c r="F6" s="10">
        <v>1</v>
      </c>
      <c r="G6" s="13">
        <f>1176.8469615*E6*F6</f>
        <v>1176.8469615</v>
      </c>
      <c r="H6" s="13">
        <f>611.75196216*E6*F6</f>
        <v>611.75196216</v>
      </c>
      <c r="I6" s="13">
        <f aca="true" t="shared" si="0" ref="I6:I24">0*E6*F6</f>
        <v>0</v>
      </c>
      <c r="J6" s="13">
        <f>11.768469615*E6*F6</f>
        <v>11.768469615</v>
      </c>
      <c r="K6" s="13">
        <f>27.005510899125*E6*F6</f>
        <v>27.005510899125</v>
      </c>
      <c r="L6" s="13">
        <f>11.768469615*E6*F6</f>
        <v>11.768469615</v>
      </c>
      <c r="M6" s="13">
        <f aca="true" t="shared" si="1" ref="M6:M24">SUM(G6:L6)</f>
        <v>1839.1413737891248</v>
      </c>
      <c r="N6" s="17">
        <v>0.7636361791185537</v>
      </c>
    </row>
    <row r="7" spans="2:14" ht="24">
      <c r="B7" s="9">
        <v>2</v>
      </c>
      <c r="C7" s="7" t="s">
        <v>17</v>
      </c>
      <c r="D7" s="7" t="s">
        <v>18</v>
      </c>
      <c r="E7" s="11">
        <v>1</v>
      </c>
      <c r="F7" s="11">
        <v>1</v>
      </c>
      <c r="G7" s="14">
        <f>175.597974*E7*F7</f>
        <v>175.597974</v>
      </c>
      <c r="H7" s="14">
        <f>1.1636394*E7*F7</f>
        <v>1.1636394</v>
      </c>
      <c r="I7" s="14">
        <f t="shared" si="0"/>
        <v>0</v>
      </c>
      <c r="J7" s="14">
        <f>1.75597974*E7*F7</f>
        <v>1.75597974</v>
      </c>
      <c r="K7" s="14">
        <f>2.6777638971*E7*F7</f>
        <v>2.6777638971</v>
      </c>
      <c r="L7" s="14">
        <f>1.75597974*E7*F7</f>
        <v>1.75597974</v>
      </c>
      <c r="M7" s="14">
        <f t="shared" si="1"/>
        <v>182.95133677709995</v>
      </c>
      <c r="N7" s="18">
        <v>0.07596385018148977</v>
      </c>
    </row>
    <row r="8" spans="2:14" ht="24">
      <c r="B8" s="9">
        <v>3</v>
      </c>
      <c r="C8" s="7" t="s">
        <v>19</v>
      </c>
      <c r="D8" s="7" t="s">
        <v>20</v>
      </c>
      <c r="E8" s="11">
        <v>1</v>
      </c>
      <c r="F8" s="11">
        <v>1</v>
      </c>
      <c r="G8" s="14">
        <f>26.774826295341*E8*F8</f>
        <v>26.774826295341</v>
      </c>
      <c r="H8" s="14">
        <f>298.24884525936*E8*F8</f>
        <v>298.24884525936</v>
      </c>
      <c r="I8" s="14">
        <f t="shared" si="0"/>
        <v>0</v>
      </c>
      <c r="J8" s="14">
        <f>0.26774826295341*E8*F8</f>
        <v>0.26774826295341</v>
      </c>
      <c r="K8" s="14">
        <f>4.8793712972648*E8*F8</f>
        <v>4.8793712972648</v>
      </c>
      <c r="L8" s="14">
        <f>0.26774826295341*E8*F8</f>
        <v>0.26774826295341</v>
      </c>
      <c r="M8" s="14">
        <f t="shared" si="1"/>
        <v>330.43853937787264</v>
      </c>
      <c r="N8" s="18">
        <v>0.13720251593500774</v>
      </c>
    </row>
    <row r="9" spans="2:14" ht="24">
      <c r="B9" s="9">
        <v>4</v>
      </c>
      <c r="C9" s="7" t="s">
        <v>21</v>
      </c>
      <c r="D9" s="7" t="s">
        <v>22</v>
      </c>
      <c r="E9" s="11">
        <v>1</v>
      </c>
      <c r="F9" s="11">
        <v>1</v>
      </c>
      <c r="G9" s="14">
        <f>76.0924554*E9*F9</f>
        <v>76.0924554</v>
      </c>
      <c r="H9" s="14">
        <f aca="true" t="shared" si="2" ref="H9:H18">0*E9*F9</f>
        <v>0</v>
      </c>
      <c r="I9" s="14">
        <f t="shared" si="0"/>
        <v>0</v>
      </c>
      <c r="J9" s="14">
        <f>0.760924554*E9*F9</f>
        <v>0.760924554</v>
      </c>
      <c r="K9" s="14">
        <f>1.15280069931*E9*F9</f>
        <v>1.15280069931</v>
      </c>
      <c r="L9" s="14">
        <f>0.760924554*E9*F9</f>
        <v>0.760924554</v>
      </c>
      <c r="M9" s="14">
        <f t="shared" si="1"/>
        <v>78.76710520731001</v>
      </c>
      <c r="N9" s="18">
        <v>0.03270515911281765</v>
      </c>
    </row>
    <row r="10" spans="2:14" ht="12">
      <c r="B10" s="9">
        <v>5</v>
      </c>
      <c r="C10" s="7" t="s">
        <v>23</v>
      </c>
      <c r="D10" s="7" t="s">
        <v>24</v>
      </c>
      <c r="E10" s="11">
        <v>1</v>
      </c>
      <c r="F10" s="11">
        <v>1</v>
      </c>
      <c r="G10" s="14">
        <f>301.5567006*E10*F10</f>
        <v>301.5567006</v>
      </c>
      <c r="H10" s="14">
        <f t="shared" si="2"/>
        <v>0</v>
      </c>
      <c r="I10" s="14">
        <f t="shared" si="0"/>
        <v>0</v>
      </c>
      <c r="J10" s="14">
        <f>3.015567006*E10*F10</f>
        <v>3.015567006</v>
      </c>
      <c r="K10" s="14">
        <f>4.56858401409*E10*F10</f>
        <v>4.56858401409</v>
      </c>
      <c r="L10" s="14">
        <f>3.015567006*E10*F10</f>
        <v>3.015567006</v>
      </c>
      <c r="M10" s="14">
        <f t="shared" si="1"/>
        <v>312.15641862609004</v>
      </c>
      <c r="N10" s="18">
        <v>0.12961153405833337</v>
      </c>
    </row>
    <row r="11" spans="2:14" ht="12">
      <c r="B11" s="9">
        <v>6</v>
      </c>
      <c r="C11" s="7" t="s">
        <v>25</v>
      </c>
      <c r="D11" s="7" t="s">
        <v>24</v>
      </c>
      <c r="E11" s="11">
        <v>1</v>
      </c>
      <c r="F11" s="11">
        <v>1</v>
      </c>
      <c r="G11" s="14">
        <f>246.5281056*E11*F11</f>
        <v>246.5281056</v>
      </c>
      <c r="H11" s="14">
        <f t="shared" si="2"/>
        <v>0</v>
      </c>
      <c r="I11" s="14">
        <f t="shared" si="0"/>
        <v>0</v>
      </c>
      <c r="J11" s="14">
        <f>2.465281056*E11*F11</f>
        <v>2.465281056</v>
      </c>
      <c r="K11" s="14">
        <f>3.73490079984*E11*F11</f>
        <v>3.73490079984</v>
      </c>
      <c r="L11" s="14">
        <f>2.465281056*E11*F11</f>
        <v>2.465281056</v>
      </c>
      <c r="M11" s="14">
        <f t="shared" si="1"/>
        <v>255.19356851184003</v>
      </c>
      <c r="N11" s="18">
        <v>0.10595979426666668</v>
      </c>
    </row>
    <row r="12" spans="2:14" ht="24">
      <c r="B12" s="9">
        <v>7</v>
      </c>
      <c r="C12" s="7" t="s">
        <v>26</v>
      </c>
      <c r="D12" s="7" t="s">
        <v>22</v>
      </c>
      <c r="E12" s="11">
        <v>1</v>
      </c>
      <c r="F12" s="11">
        <v>1</v>
      </c>
      <c r="G12" s="14">
        <f>880.45752*E12*F12</f>
        <v>880.45752</v>
      </c>
      <c r="H12" s="14">
        <f t="shared" si="2"/>
        <v>0</v>
      </c>
      <c r="I12" s="14">
        <f t="shared" si="0"/>
        <v>0</v>
      </c>
      <c r="J12" s="14">
        <f>8.8045752*E12*F12</f>
        <v>8.8045752</v>
      </c>
      <c r="K12" s="14">
        <f>13.338931428*E12*F12</f>
        <v>13.338931428</v>
      </c>
      <c r="L12" s="14">
        <f>8.8045752*E12*F12</f>
        <v>8.8045752</v>
      </c>
      <c r="M12" s="14">
        <f t="shared" si="1"/>
        <v>911.4056018280002</v>
      </c>
      <c r="N12" s="18">
        <v>0.37842783666666674</v>
      </c>
    </row>
    <row r="13" spans="2:14" ht="24">
      <c r="B13" s="9">
        <v>8</v>
      </c>
      <c r="C13" s="7" t="s">
        <v>27</v>
      </c>
      <c r="D13" s="7" t="s">
        <v>22</v>
      </c>
      <c r="E13" s="11">
        <v>1</v>
      </c>
      <c r="F13" s="11">
        <v>1</v>
      </c>
      <c r="G13" s="14">
        <f>660.34314*E13*F13</f>
        <v>660.34314</v>
      </c>
      <c r="H13" s="14">
        <f t="shared" si="2"/>
        <v>0</v>
      </c>
      <c r="I13" s="14">
        <f t="shared" si="0"/>
        <v>0</v>
      </c>
      <c r="J13" s="14">
        <f>6.6034314*E13*F13</f>
        <v>6.6034314</v>
      </c>
      <c r="K13" s="14">
        <f>10.004198571*E13*F13</f>
        <v>10.004198571</v>
      </c>
      <c r="L13" s="14">
        <f>6.6034314*E13*F13</f>
        <v>6.6034314</v>
      </c>
      <c r="M13" s="14">
        <f t="shared" si="1"/>
        <v>683.5542013709999</v>
      </c>
      <c r="N13" s="18">
        <v>0.28382087749999996</v>
      </c>
    </row>
    <row r="14" spans="2:14" ht="12">
      <c r="B14" s="9">
        <v>9</v>
      </c>
      <c r="C14" s="7" t="s">
        <v>28</v>
      </c>
      <c r="D14" s="7" t="s">
        <v>29</v>
      </c>
      <c r="E14" s="11">
        <v>1</v>
      </c>
      <c r="F14" s="11">
        <v>1</v>
      </c>
      <c r="G14" s="14">
        <f>660.34314*E14*F14</f>
        <v>660.34314</v>
      </c>
      <c r="H14" s="14">
        <f t="shared" si="2"/>
        <v>0</v>
      </c>
      <c r="I14" s="14">
        <f t="shared" si="0"/>
        <v>0</v>
      </c>
      <c r="J14" s="14">
        <f>6.6034314*E14*F14</f>
        <v>6.6034314</v>
      </c>
      <c r="K14" s="14">
        <f>10.004198571*E14*F14</f>
        <v>10.004198571</v>
      </c>
      <c r="L14" s="14">
        <f>6.6034314*E14*F14</f>
        <v>6.6034314</v>
      </c>
      <c r="M14" s="14">
        <f t="shared" si="1"/>
        <v>683.5542013709999</v>
      </c>
      <c r="N14" s="18">
        <v>0.28382087749999996</v>
      </c>
    </row>
    <row r="15" spans="2:14" ht="24">
      <c r="B15" s="9">
        <v>10</v>
      </c>
      <c r="C15" s="7" t="s">
        <v>30</v>
      </c>
      <c r="D15" s="7" t="s">
        <v>22</v>
      </c>
      <c r="E15" s="11">
        <v>1</v>
      </c>
      <c r="F15" s="11">
        <v>1</v>
      </c>
      <c r="G15" s="14">
        <f>819.457212*E15*F15</f>
        <v>819.457212</v>
      </c>
      <c r="H15" s="14">
        <f t="shared" si="2"/>
        <v>0</v>
      </c>
      <c r="I15" s="14">
        <f t="shared" si="0"/>
        <v>0</v>
      </c>
      <c r="J15" s="14">
        <f>8.19457212*E15*F15</f>
        <v>8.19457212</v>
      </c>
      <c r="K15" s="14">
        <f>12.4147767618*E15*F15</f>
        <v>12.4147767618</v>
      </c>
      <c r="L15" s="14">
        <f>8.19457212*E15*F15</f>
        <v>8.19457212</v>
      </c>
      <c r="M15" s="14">
        <f t="shared" si="1"/>
        <v>848.2611330018</v>
      </c>
      <c r="N15" s="18">
        <v>0.3522094058303438</v>
      </c>
    </row>
    <row r="16" spans="2:14" ht="24">
      <c r="B16" s="9">
        <v>11</v>
      </c>
      <c r="C16" s="7" t="s">
        <v>31</v>
      </c>
      <c r="D16" s="7" t="s">
        <v>22</v>
      </c>
      <c r="E16" s="11">
        <v>1</v>
      </c>
      <c r="F16" s="11">
        <v>1</v>
      </c>
      <c r="G16" s="14">
        <f>819.457212*E16*F16</f>
        <v>819.457212</v>
      </c>
      <c r="H16" s="14">
        <f t="shared" si="2"/>
        <v>0</v>
      </c>
      <c r="I16" s="14">
        <f t="shared" si="0"/>
        <v>0</v>
      </c>
      <c r="J16" s="14">
        <f>8.19457212*E16*F16</f>
        <v>8.19457212</v>
      </c>
      <c r="K16" s="14">
        <f>12.4147767618*E16*F16</f>
        <v>12.4147767618</v>
      </c>
      <c r="L16" s="14">
        <f>8.19457212*E16*F16</f>
        <v>8.19457212</v>
      </c>
      <c r="M16" s="14">
        <f t="shared" si="1"/>
        <v>848.2611330018</v>
      </c>
      <c r="N16" s="18">
        <v>0.3522094058303438</v>
      </c>
    </row>
    <row r="17" spans="2:14" ht="24">
      <c r="B17" s="9">
        <v>12</v>
      </c>
      <c r="C17" s="7" t="s">
        <v>32</v>
      </c>
      <c r="D17" s="7" t="s">
        <v>22</v>
      </c>
      <c r="E17" s="11">
        <v>1</v>
      </c>
      <c r="F17" s="11">
        <v>1</v>
      </c>
      <c r="G17" s="14">
        <f>819.457212*E17*F17</f>
        <v>819.457212</v>
      </c>
      <c r="H17" s="14">
        <f t="shared" si="2"/>
        <v>0</v>
      </c>
      <c r="I17" s="14">
        <f t="shared" si="0"/>
        <v>0</v>
      </c>
      <c r="J17" s="14">
        <f>8.19457212*E17*F17</f>
        <v>8.19457212</v>
      </c>
      <c r="K17" s="14">
        <f>12.4147767618*E17*F17</f>
        <v>12.4147767618</v>
      </c>
      <c r="L17" s="14">
        <f>8.19457212*E17*F17</f>
        <v>8.19457212</v>
      </c>
      <c r="M17" s="14">
        <f t="shared" si="1"/>
        <v>848.2611330018</v>
      </c>
      <c r="N17" s="18">
        <v>0.3522094058303438</v>
      </c>
    </row>
    <row r="18" spans="2:14" ht="24">
      <c r="B18" s="9">
        <v>13</v>
      </c>
      <c r="C18" s="7" t="s">
        <v>33</v>
      </c>
      <c r="D18" s="7" t="s">
        <v>34</v>
      </c>
      <c r="E18" s="11">
        <v>1</v>
      </c>
      <c r="F18" s="11">
        <v>1</v>
      </c>
      <c r="G18" s="14">
        <f>1981.02942*E18*F18</f>
        <v>1981.02942</v>
      </c>
      <c r="H18" s="14">
        <f t="shared" si="2"/>
        <v>0</v>
      </c>
      <c r="I18" s="14">
        <f t="shared" si="0"/>
        <v>0</v>
      </c>
      <c r="J18" s="14">
        <f>19.8102942*E18*F18</f>
        <v>19.8102942</v>
      </c>
      <c r="K18" s="14">
        <f>30.012595713*E18*F18</f>
        <v>30.012595713</v>
      </c>
      <c r="L18" s="14">
        <f>19.8102942*E18*F18</f>
        <v>19.8102942</v>
      </c>
      <c r="M18" s="14">
        <f t="shared" si="1"/>
        <v>2050.6626041130003</v>
      </c>
      <c r="N18" s="18">
        <v>0.8514626325000001</v>
      </c>
    </row>
    <row r="19" spans="2:14" ht="12">
      <c r="B19" s="9">
        <v>14</v>
      </c>
      <c r="C19" s="7" t="s">
        <v>35</v>
      </c>
      <c r="D19" s="7" t="s">
        <v>36</v>
      </c>
      <c r="E19" s="11">
        <v>1</v>
      </c>
      <c r="F19" s="11">
        <v>1</v>
      </c>
      <c r="G19" s="14">
        <f>975.5443*E19*F19</f>
        <v>975.5443</v>
      </c>
      <c r="H19" s="14">
        <f>438.0072*E19*F19</f>
        <v>438.0072</v>
      </c>
      <c r="I19" s="14">
        <f t="shared" si="0"/>
        <v>0</v>
      </c>
      <c r="J19" s="14">
        <f>9.755443*E19*F19</f>
        <v>9.755443</v>
      </c>
      <c r="K19" s="14">
        <f>21.349604145*E19*F19</f>
        <v>21.349604145</v>
      </c>
      <c r="L19" s="14">
        <f>9.755443*E19*F19</f>
        <v>9.755443</v>
      </c>
      <c r="M19" s="14">
        <f t="shared" si="1"/>
        <v>1454.4119901450001</v>
      </c>
      <c r="N19" s="18">
        <v>0.6038913760774789</v>
      </c>
    </row>
    <row r="20" spans="2:14" ht="12">
      <c r="B20" s="9">
        <v>15</v>
      </c>
      <c r="C20" s="7" t="s">
        <v>37</v>
      </c>
      <c r="D20" s="7" t="s">
        <v>36</v>
      </c>
      <c r="E20" s="11">
        <v>1</v>
      </c>
      <c r="F20" s="11">
        <v>1</v>
      </c>
      <c r="G20" s="14">
        <f>390.21772*E20*F20</f>
        <v>390.21772</v>
      </c>
      <c r="H20" s="14">
        <f>0*E20*F20</f>
        <v>0</v>
      </c>
      <c r="I20" s="14">
        <f t="shared" si="0"/>
        <v>0</v>
      </c>
      <c r="J20" s="14">
        <f>3.9021772*E20*F20</f>
        <v>3.9021772</v>
      </c>
      <c r="K20" s="14">
        <f>5.911798458*E20*F20</f>
        <v>5.911798458</v>
      </c>
      <c r="L20" s="14">
        <f>3.9021772*E20*F20</f>
        <v>3.9021772</v>
      </c>
      <c r="M20" s="14">
        <f t="shared" si="1"/>
        <v>403.933872858</v>
      </c>
      <c r="N20" s="18">
        <v>0.1677187646811161</v>
      </c>
    </row>
    <row r="21" spans="2:14" ht="12">
      <c r="B21" s="9">
        <v>16</v>
      </c>
      <c r="C21" s="7" t="s">
        <v>38</v>
      </c>
      <c r="D21" s="7" t="s">
        <v>39</v>
      </c>
      <c r="E21" s="11">
        <v>1</v>
      </c>
      <c r="F21" s="11">
        <v>1</v>
      </c>
      <c r="G21" s="14">
        <f>55.762308866285*E21*F21</f>
        <v>55.762308866285</v>
      </c>
      <c r="H21" s="14">
        <f>0*E21*F21</f>
        <v>0</v>
      </c>
      <c r="I21" s="14">
        <f t="shared" si="0"/>
        <v>0</v>
      </c>
      <c r="J21" s="14">
        <f>0.55762308866285*E21*F21</f>
        <v>0.55762308866285</v>
      </c>
      <c r="K21" s="14">
        <f>0.84479897932422*E21*F21</f>
        <v>0.84479897932422</v>
      </c>
      <c r="L21" s="14">
        <f>0.55762308866285*E21*F21</f>
        <v>0.55762308866285</v>
      </c>
      <c r="M21" s="14">
        <f t="shared" si="1"/>
        <v>57.722354022934915</v>
      </c>
      <c r="N21" s="18">
        <v>0.02396709600686552</v>
      </c>
    </row>
    <row r="22" spans="2:14" ht="36">
      <c r="B22" s="9">
        <v>17</v>
      </c>
      <c r="C22" s="7" t="s">
        <v>40</v>
      </c>
      <c r="D22" s="7" t="s">
        <v>41</v>
      </c>
      <c r="E22" s="11">
        <v>1</v>
      </c>
      <c r="F22" s="11">
        <v>1</v>
      </c>
      <c r="G22" s="14">
        <f>22.011438*E22*F22</f>
        <v>22.011438</v>
      </c>
      <c r="H22" s="14">
        <f>0*E22*F22</f>
        <v>0</v>
      </c>
      <c r="I22" s="14">
        <f t="shared" si="0"/>
        <v>0</v>
      </c>
      <c r="J22" s="14">
        <f>0.22011438*E22*F22</f>
        <v>0.22011438</v>
      </c>
      <c r="K22" s="14">
        <f>0.3334732857*E22*F22</f>
        <v>0.3334732857</v>
      </c>
      <c r="L22" s="14">
        <f>0.22011438*E22*F22</f>
        <v>0.22011438</v>
      </c>
      <c r="M22" s="14">
        <f t="shared" si="1"/>
        <v>22.785140045699993</v>
      </c>
      <c r="N22" s="18">
        <v>0.009460695916666664</v>
      </c>
    </row>
    <row r="23" spans="2:14" ht="36">
      <c r="B23" s="9">
        <v>18</v>
      </c>
      <c r="C23" s="7" t="s">
        <v>42</v>
      </c>
      <c r="D23" s="7" t="s">
        <v>43</v>
      </c>
      <c r="E23" s="11">
        <v>1</v>
      </c>
      <c r="F23" s="11">
        <v>1</v>
      </c>
      <c r="G23" s="14">
        <f>116.6606214*E23*F23</f>
        <v>116.6606214</v>
      </c>
      <c r="H23" s="14">
        <f>0*E23*F23</f>
        <v>0</v>
      </c>
      <c r="I23" s="14">
        <f t="shared" si="0"/>
        <v>0</v>
      </c>
      <c r="J23" s="14">
        <f>1.166606214*E23*F23</f>
        <v>1.166606214</v>
      </c>
      <c r="K23" s="14">
        <f>1.76740841421*E23*F23</f>
        <v>1.76740841421</v>
      </c>
      <c r="L23" s="14">
        <f>1.166606214*E23*F23</f>
        <v>1.166606214</v>
      </c>
      <c r="M23" s="14">
        <f t="shared" si="1"/>
        <v>120.76124224220999</v>
      </c>
      <c r="N23" s="18">
        <v>0.05014168835833333</v>
      </c>
    </row>
    <row r="24" spans="2:14" ht="24">
      <c r="B24" s="9">
        <v>19</v>
      </c>
      <c r="C24" s="7" t="s">
        <v>44</v>
      </c>
      <c r="D24" s="7" t="s">
        <v>41</v>
      </c>
      <c r="E24" s="11">
        <v>1</v>
      </c>
      <c r="F24" s="11">
        <v>1</v>
      </c>
      <c r="G24" s="14">
        <f>158.4823536*E24*F24</f>
        <v>158.4823536</v>
      </c>
      <c r="H24" s="14">
        <f>0*E24*F24</f>
        <v>0</v>
      </c>
      <c r="I24" s="14">
        <f t="shared" si="0"/>
        <v>0</v>
      </c>
      <c r="J24" s="14">
        <f>1.584823536*E24*F24</f>
        <v>1.584823536</v>
      </c>
      <c r="K24" s="14">
        <f>2.40100765704*E24*F24</f>
        <v>2.40100765704</v>
      </c>
      <c r="L24" s="14">
        <f>1.584823536*E24*F24</f>
        <v>1.584823536</v>
      </c>
      <c r="M24" s="14">
        <f t="shared" si="1"/>
        <v>164.05300832903998</v>
      </c>
      <c r="N24" s="18">
        <v>0.0681170106</v>
      </c>
    </row>
    <row r="25" spans="2:14" ht="19.5" customHeight="1">
      <c r="B25" s="45" t="s">
        <v>45</v>
      </c>
      <c r="C25" s="46"/>
      <c r="D25" s="46"/>
      <c r="E25" s="46"/>
      <c r="F25" s="46"/>
      <c r="G25" s="15">
        <f aca="true" t="shared" si="3" ref="G25:N25">SUM(G6:G24)</f>
        <v>10362.620621261627</v>
      </c>
      <c r="H25" s="15">
        <f t="shared" si="3"/>
        <v>1349.17164681936</v>
      </c>
      <c r="I25" s="15">
        <f t="shared" si="3"/>
        <v>0</v>
      </c>
      <c r="J25" s="15">
        <f t="shared" si="3"/>
        <v>103.62620621261627</v>
      </c>
      <c r="K25" s="15">
        <f t="shared" si="3"/>
        <v>177.231277114404</v>
      </c>
      <c r="L25" s="15">
        <f t="shared" si="3"/>
        <v>103.62620621261627</v>
      </c>
      <c r="M25" s="15">
        <f t="shared" si="3"/>
        <v>12096.275957620623</v>
      </c>
      <c r="N25" s="19">
        <v>5.022536105971027</v>
      </c>
    </row>
    <row r="26" spans="2:14" ht="21.75" customHeight="1">
      <c r="B26" s="41" t="s">
        <v>46</v>
      </c>
      <c r="C26" s="42"/>
      <c r="D26" s="42"/>
      <c r="E26" s="42"/>
      <c r="F26" s="42"/>
      <c r="G26" s="43"/>
      <c r="H26" s="43"/>
      <c r="I26" s="43"/>
      <c r="J26" s="43"/>
      <c r="K26" s="43"/>
      <c r="L26" s="43"/>
      <c r="M26" s="43"/>
      <c r="N26" s="44"/>
    </row>
    <row r="27" spans="2:14" ht="36">
      <c r="B27" s="8">
        <v>20</v>
      </c>
      <c r="C27" s="6" t="s">
        <v>47</v>
      </c>
      <c r="D27" s="6" t="s">
        <v>48</v>
      </c>
      <c r="E27" s="10">
        <v>1</v>
      </c>
      <c r="F27" s="10">
        <v>48</v>
      </c>
      <c r="G27" s="13">
        <f>175.45896305*E27*F27</f>
        <v>8422.0302264</v>
      </c>
      <c r="H27" s="13">
        <f>0.889782*E27*F27</f>
        <v>42.709536</v>
      </c>
      <c r="I27" s="13">
        <f aca="true" t="shared" si="4" ref="I27:I45">0*E27*F27</f>
        <v>0</v>
      </c>
      <c r="J27" s="13">
        <f>1.7545896305*E27*F27</f>
        <v>84.220302264</v>
      </c>
      <c r="K27" s="13">
        <f>2.6715500202075*E27*F27</f>
        <v>128.23440096996</v>
      </c>
      <c r="L27" s="13">
        <f>1.7545896305*E27*F27</f>
        <v>84.220302264</v>
      </c>
      <c r="M27" s="13">
        <f aca="true" t="shared" si="5" ref="M27:M45">SUM(G27:L27)</f>
        <v>8761.414767897963</v>
      </c>
      <c r="N27" s="17">
        <v>3.637856987169059</v>
      </c>
    </row>
    <row r="28" spans="2:14" ht="24">
      <c r="B28" s="9">
        <v>21</v>
      </c>
      <c r="C28" s="7" t="s">
        <v>49</v>
      </c>
      <c r="D28" s="7" t="s">
        <v>50</v>
      </c>
      <c r="E28" s="11">
        <v>1</v>
      </c>
      <c r="F28" s="11">
        <v>2</v>
      </c>
      <c r="G28" s="14">
        <f>404.58492726164*E28*F28</f>
        <v>809.16985452328</v>
      </c>
      <c r="H28" s="14">
        <f>26.82569477736*E28*F28</f>
        <v>53.65138955472</v>
      </c>
      <c r="I28" s="14">
        <f t="shared" si="4"/>
        <v>0</v>
      </c>
      <c r="J28" s="14">
        <f>4.0458492726164*E28*F28</f>
        <v>8.0916985452328</v>
      </c>
      <c r="K28" s="14">
        <f>6.5318470696743*E28*F28</f>
        <v>13.0636941393486</v>
      </c>
      <c r="L28" s="14">
        <f>4.0458492726164*E28*F28</f>
        <v>8.0916985452328</v>
      </c>
      <c r="M28" s="14">
        <f t="shared" si="5"/>
        <v>892.0683353078143</v>
      </c>
      <c r="N28" s="18">
        <v>0.3703987441072141</v>
      </c>
    </row>
    <row r="29" spans="2:14" ht="24">
      <c r="B29" s="9">
        <v>22</v>
      </c>
      <c r="C29" s="7" t="s">
        <v>51</v>
      </c>
      <c r="D29" s="7" t="s">
        <v>52</v>
      </c>
      <c r="E29" s="11">
        <v>1</v>
      </c>
      <c r="F29" s="11">
        <v>2</v>
      </c>
      <c r="G29" s="14">
        <f>407.55981523836*E29*F29</f>
        <v>815.11963047672</v>
      </c>
      <c r="H29" s="14">
        <f>16.8220661472*E29*F29</f>
        <v>33.6441322944</v>
      </c>
      <c r="I29" s="14">
        <f t="shared" si="4"/>
        <v>0</v>
      </c>
      <c r="J29" s="14">
        <f>4.0755981523836*E29*F29</f>
        <v>8.1511963047672</v>
      </c>
      <c r="K29" s="14">
        <f>6.4268621930691*E29*F29</f>
        <v>12.8537243861382</v>
      </c>
      <c r="L29" s="14">
        <f>4.0755981523836*E29*F29</f>
        <v>8.1511963047672</v>
      </c>
      <c r="M29" s="14">
        <f t="shared" si="5"/>
        <v>877.9198797667925</v>
      </c>
      <c r="N29" s="18">
        <v>0.3645241154985852</v>
      </c>
    </row>
    <row r="30" spans="2:14" ht="24">
      <c r="B30" s="9">
        <v>23</v>
      </c>
      <c r="C30" s="7" t="s">
        <v>53</v>
      </c>
      <c r="D30" s="7" t="s">
        <v>54</v>
      </c>
      <c r="E30" s="11">
        <v>1</v>
      </c>
      <c r="F30" s="11">
        <v>2</v>
      </c>
      <c r="G30" s="14">
        <f>389.71048023836*E30*F30</f>
        <v>779.42096047672</v>
      </c>
      <c r="H30" s="14">
        <f>16.80745380624*E30*F30</f>
        <v>33.61490761248</v>
      </c>
      <c r="I30" s="14">
        <f t="shared" si="4"/>
        <v>0</v>
      </c>
      <c r="J30" s="14">
        <f>3.8971048023836*E30*F30</f>
        <v>7.7942096047672</v>
      </c>
      <c r="K30" s="14">
        <f>6.1562255827047*E30*F30</f>
        <v>12.3124511654094</v>
      </c>
      <c r="L30" s="14">
        <f>3.8971048023836*E30*F30</f>
        <v>7.7942096047672</v>
      </c>
      <c r="M30" s="14">
        <f t="shared" si="5"/>
        <v>840.9367384641437</v>
      </c>
      <c r="N30" s="18">
        <v>0.34916821892714817</v>
      </c>
    </row>
    <row r="31" spans="2:14" ht="24">
      <c r="B31" s="9">
        <v>24</v>
      </c>
      <c r="C31" s="7" t="s">
        <v>55</v>
      </c>
      <c r="D31" s="7" t="s">
        <v>56</v>
      </c>
      <c r="E31" s="11">
        <v>1</v>
      </c>
      <c r="F31" s="11">
        <v>1</v>
      </c>
      <c r="G31" s="14">
        <f>597.9527225*E31*F31</f>
        <v>597.9527225</v>
      </c>
      <c r="H31" s="14">
        <f>25.38406976448*E31*F31</f>
        <v>25.38406976448</v>
      </c>
      <c r="I31" s="14">
        <f t="shared" si="4"/>
        <v>0</v>
      </c>
      <c r="J31" s="14">
        <f>5.979527225*E31*F31</f>
        <v>5.979527225</v>
      </c>
      <c r="K31" s="14">
        <f>9.4397447923422*E31*F31</f>
        <v>9.4397447923422</v>
      </c>
      <c r="L31" s="14">
        <f>5.979527225*E31*F31</f>
        <v>5.979527225</v>
      </c>
      <c r="M31" s="14">
        <f t="shared" si="5"/>
        <v>644.7355915068223</v>
      </c>
      <c r="N31" s="18">
        <v>0.267702869750383</v>
      </c>
    </row>
    <row r="32" spans="2:14" ht="24">
      <c r="B32" s="9">
        <v>25</v>
      </c>
      <c r="C32" s="7" t="s">
        <v>57</v>
      </c>
      <c r="D32" s="7" t="s">
        <v>58</v>
      </c>
      <c r="E32" s="11">
        <v>1</v>
      </c>
      <c r="F32" s="11">
        <v>1</v>
      </c>
      <c r="G32" s="14">
        <f>190.9878845*E32*F32</f>
        <v>190.9878845</v>
      </c>
      <c r="H32" s="14">
        <f>46.9248*E32*F32</f>
        <v>46.9248</v>
      </c>
      <c r="I32" s="14">
        <f t="shared" si="4"/>
        <v>0</v>
      </c>
      <c r="J32" s="14">
        <f>1.909878845*E32*F32</f>
        <v>1.909878845</v>
      </c>
      <c r="K32" s="14">
        <f>3.597338450175*E32*F32</f>
        <v>3.597338450175</v>
      </c>
      <c r="L32" s="14">
        <f>1.909878845*E32*F32</f>
        <v>1.909878845</v>
      </c>
      <c r="M32" s="14">
        <f t="shared" si="5"/>
        <v>245.32978064017502</v>
      </c>
      <c r="N32" s="18">
        <v>0.1018642171732997</v>
      </c>
    </row>
    <row r="33" spans="2:14" ht="60">
      <c r="B33" s="9">
        <v>26</v>
      </c>
      <c r="C33" s="7" t="s">
        <v>59</v>
      </c>
      <c r="D33" s="7" t="s">
        <v>60</v>
      </c>
      <c r="E33" s="11">
        <v>1</v>
      </c>
      <c r="F33" s="11">
        <v>1</v>
      </c>
      <c r="G33" s="14">
        <f>240.9660225*E33*F33</f>
        <v>240.9660225</v>
      </c>
      <c r="H33" s="14">
        <f>46.9248*E33*F33</f>
        <v>46.9248</v>
      </c>
      <c r="I33" s="14">
        <f t="shared" si="4"/>
        <v>0</v>
      </c>
      <c r="J33" s="14">
        <f>2.409660225*E33*F33</f>
        <v>2.409660225</v>
      </c>
      <c r="K33" s="14">
        <f>4.354507240875*E33*F33</f>
        <v>4.354507240875</v>
      </c>
      <c r="L33" s="14">
        <f>2.409660225*E33*F33</f>
        <v>2.409660225</v>
      </c>
      <c r="M33" s="14">
        <f t="shared" si="5"/>
        <v>297.064650190875</v>
      </c>
      <c r="N33" s="18">
        <v>0.12334522927706154</v>
      </c>
    </row>
    <row r="34" spans="2:14" ht="24">
      <c r="B34" s="9">
        <v>27</v>
      </c>
      <c r="C34" s="7" t="s">
        <v>61</v>
      </c>
      <c r="D34" s="7" t="s">
        <v>62</v>
      </c>
      <c r="E34" s="11">
        <v>1</v>
      </c>
      <c r="F34" s="11">
        <v>1</v>
      </c>
      <c r="G34" s="14">
        <f>324.857897*E34*F34</f>
        <v>324.857897</v>
      </c>
      <c r="H34" s="14">
        <f>46.9248*E34*F34</f>
        <v>46.9248</v>
      </c>
      <c r="I34" s="14">
        <f t="shared" si="4"/>
        <v>0</v>
      </c>
      <c r="J34" s="14">
        <f>3.24857897*E34*F34</f>
        <v>3.24857897</v>
      </c>
      <c r="K34" s="14">
        <f>5.62546913955*E34*F34</f>
        <v>5.62546913955</v>
      </c>
      <c r="L34" s="14">
        <f>3.24857897*E34*F34</f>
        <v>3.24857897</v>
      </c>
      <c r="M34" s="14">
        <f t="shared" si="5"/>
        <v>383.9053240795499</v>
      </c>
      <c r="N34" s="18">
        <v>0.15940264245123317</v>
      </c>
    </row>
    <row r="35" spans="2:14" ht="12">
      <c r="B35" s="9">
        <v>28</v>
      </c>
      <c r="C35" s="7" t="s">
        <v>63</v>
      </c>
      <c r="D35" s="7" t="s">
        <v>64</v>
      </c>
      <c r="E35" s="11">
        <v>1</v>
      </c>
      <c r="F35" s="11">
        <v>1</v>
      </c>
      <c r="G35" s="14">
        <f>270.70301461*E35*F35</f>
        <v>270.70301461</v>
      </c>
      <c r="H35" s="14">
        <f>46.9248*E35*F35</f>
        <v>46.9248</v>
      </c>
      <c r="I35" s="14">
        <f t="shared" si="4"/>
        <v>0</v>
      </c>
      <c r="J35" s="14">
        <f>2.7070301461*E35*F35</f>
        <v>2.7070301461</v>
      </c>
      <c r="K35" s="14">
        <f>4.8050226713415*E35*F35</f>
        <v>4.8050226713415</v>
      </c>
      <c r="L35" s="14">
        <f>2.7070301461*E35*F35</f>
        <v>2.7070301461</v>
      </c>
      <c r="M35" s="14">
        <f t="shared" si="5"/>
        <v>327.8468975735415</v>
      </c>
      <c r="N35" s="18">
        <v>0.13612643147879985</v>
      </c>
    </row>
    <row r="36" spans="2:14" ht="12">
      <c r="B36" s="9">
        <v>29</v>
      </c>
      <c r="C36" s="7" t="s">
        <v>65</v>
      </c>
      <c r="D36" s="7" t="s">
        <v>66</v>
      </c>
      <c r="E36" s="11">
        <v>1</v>
      </c>
      <c r="F36" s="11">
        <v>1</v>
      </c>
      <c r="G36" s="14">
        <f>187.4180175*E36*F36</f>
        <v>187.4180175</v>
      </c>
      <c r="H36" s="14">
        <f>4.0104*E36*F36</f>
        <v>4.0104</v>
      </c>
      <c r="I36" s="14">
        <f t="shared" si="4"/>
        <v>0</v>
      </c>
      <c r="J36" s="14">
        <f>1.874180175*E36*F36</f>
        <v>1.874180175</v>
      </c>
      <c r="K36" s="14">
        <f>2.899538965125*E36*F36</f>
        <v>2.899538965125</v>
      </c>
      <c r="L36" s="14">
        <f>1.874180175*E36*F36</f>
        <v>1.874180175</v>
      </c>
      <c r="M36" s="14">
        <f t="shared" si="5"/>
        <v>198.07631681512498</v>
      </c>
      <c r="N36" s="18">
        <v>0.08224394486593796</v>
      </c>
    </row>
    <row r="37" spans="2:14" ht="24">
      <c r="B37" s="9">
        <v>30</v>
      </c>
      <c r="C37" s="7" t="s">
        <v>67</v>
      </c>
      <c r="D37" s="7" t="s">
        <v>68</v>
      </c>
      <c r="E37" s="11">
        <v>1</v>
      </c>
      <c r="F37" s="11">
        <v>1</v>
      </c>
      <c r="G37" s="14">
        <f>218.7983*E37*F37</f>
        <v>218.7983</v>
      </c>
      <c r="H37" s="14">
        <f>3.6795552*E37*F37</f>
        <v>3.6795552</v>
      </c>
      <c r="I37" s="14">
        <f t="shared" si="4"/>
        <v>0</v>
      </c>
      <c r="J37" s="14">
        <f>2.187983*E37*F37</f>
        <v>2.187983</v>
      </c>
      <c r="K37" s="14">
        <f>3.369987573*E37*F37</f>
        <v>3.369987573</v>
      </c>
      <c r="L37" s="14">
        <f>2.187983*E37*F37</f>
        <v>2.187983</v>
      </c>
      <c r="M37" s="14">
        <f t="shared" si="5"/>
        <v>230.22380877300003</v>
      </c>
      <c r="N37" s="18">
        <v>0.09559201493647236</v>
      </c>
    </row>
    <row r="38" spans="2:14" ht="12">
      <c r="B38" s="9">
        <v>31</v>
      </c>
      <c r="C38" s="7" t="s">
        <v>69</v>
      </c>
      <c r="D38" s="7" t="s">
        <v>70</v>
      </c>
      <c r="E38" s="11">
        <v>1</v>
      </c>
      <c r="F38" s="11">
        <v>1</v>
      </c>
      <c r="G38" s="14">
        <f>356.9867*E38*F38</f>
        <v>356.9867</v>
      </c>
      <c r="H38" s="14">
        <f>5.9815104*E38*F38</f>
        <v>5.9815104</v>
      </c>
      <c r="I38" s="14">
        <f t="shared" si="4"/>
        <v>0</v>
      </c>
      <c r="J38" s="14">
        <f>3.569867*E38*F38</f>
        <v>3.569867</v>
      </c>
      <c r="K38" s="14">
        <f>5.498071161*E38*F38</f>
        <v>5.498071161</v>
      </c>
      <c r="L38" s="14">
        <f>3.569867*E38*F38</f>
        <v>3.569867</v>
      </c>
      <c r="M38" s="14">
        <f t="shared" si="5"/>
        <v>375.60601556099994</v>
      </c>
      <c r="N38" s="18">
        <v>0.15595665818011956</v>
      </c>
    </row>
    <row r="39" spans="2:14" ht="36">
      <c r="B39" s="9">
        <v>32</v>
      </c>
      <c r="C39" s="7" t="s">
        <v>71</v>
      </c>
      <c r="D39" s="7" t="s">
        <v>72</v>
      </c>
      <c r="E39" s="11">
        <v>1</v>
      </c>
      <c r="F39" s="11">
        <v>1</v>
      </c>
      <c r="G39" s="14">
        <f>3838.0183*E39*F39</f>
        <v>3838.0183</v>
      </c>
      <c r="H39" s="14">
        <f>72.3732*E39*F39</f>
        <v>72.3732</v>
      </c>
      <c r="I39" s="14">
        <f t="shared" si="4"/>
        <v>0</v>
      </c>
      <c r="J39" s="14">
        <f>38.380183*E39*F39</f>
        <v>38.380183</v>
      </c>
      <c r="K39" s="14">
        <f>59.231575245*E39*F39</f>
        <v>59.231575245</v>
      </c>
      <c r="L39" s="14">
        <f>38.380183*E39*F39</f>
        <v>38.380183</v>
      </c>
      <c r="M39" s="14">
        <f t="shared" si="5"/>
        <v>4046.3834412450005</v>
      </c>
      <c r="N39" s="18">
        <v>1.6801127060475836</v>
      </c>
    </row>
    <row r="40" spans="2:14" ht="12">
      <c r="B40" s="9">
        <v>33</v>
      </c>
      <c r="C40" s="7" t="s">
        <v>73</v>
      </c>
      <c r="D40" s="7" t="s">
        <v>74</v>
      </c>
      <c r="E40" s="11">
        <v>1</v>
      </c>
      <c r="F40" s="11">
        <v>1</v>
      </c>
      <c r="G40" s="14">
        <f>16.78002*E40*F40</f>
        <v>16.78002</v>
      </c>
      <c r="H40" s="14">
        <f>0*E40*F40</f>
        <v>0</v>
      </c>
      <c r="I40" s="14">
        <f t="shared" si="4"/>
        <v>0</v>
      </c>
      <c r="J40" s="14">
        <f>0.1678002*E40*F40</f>
        <v>0.1678002</v>
      </c>
      <c r="K40" s="14">
        <f>0.254217303*E40*F40</f>
        <v>0.254217303</v>
      </c>
      <c r="L40" s="14">
        <f>0.1678002*E40*F40</f>
        <v>0.1678002</v>
      </c>
      <c r="M40" s="14">
        <f t="shared" si="5"/>
        <v>17.369837702999998</v>
      </c>
      <c r="N40" s="18">
        <v>0.0072121897122571004</v>
      </c>
    </row>
    <row r="41" spans="2:14" ht="24">
      <c r="B41" s="9">
        <v>34</v>
      </c>
      <c r="C41" s="7" t="s">
        <v>75</v>
      </c>
      <c r="D41" s="7" t="s">
        <v>76</v>
      </c>
      <c r="E41" s="11">
        <v>1</v>
      </c>
      <c r="F41" s="11">
        <v>1</v>
      </c>
      <c r="G41" s="14">
        <f>444.177*E41*F41</f>
        <v>444.177</v>
      </c>
      <c r="H41" s="14">
        <f>0*E41*F41</f>
        <v>0</v>
      </c>
      <c r="I41" s="14">
        <f t="shared" si="4"/>
        <v>0</v>
      </c>
      <c r="J41" s="14">
        <f>4.44177*E41*F41</f>
        <v>4.44177</v>
      </c>
      <c r="K41" s="14">
        <f>6.72928155*E41*F41</f>
        <v>6.72928155</v>
      </c>
      <c r="L41" s="14">
        <f>4.44177*E41*F41</f>
        <v>4.44177</v>
      </c>
      <c r="M41" s="14">
        <f t="shared" si="5"/>
        <v>459.78982155000006</v>
      </c>
      <c r="N41" s="18">
        <v>0.1909109041479821</v>
      </c>
    </row>
    <row r="42" spans="2:14" ht="12">
      <c r="B42" s="9">
        <v>35</v>
      </c>
      <c r="C42" s="7" t="s">
        <v>77</v>
      </c>
      <c r="D42" s="7" t="s">
        <v>78</v>
      </c>
      <c r="E42" s="11">
        <v>1</v>
      </c>
      <c r="F42" s="11">
        <v>1</v>
      </c>
      <c r="G42" s="14">
        <f>197.412*E42*F42</f>
        <v>197.412</v>
      </c>
      <c r="H42" s="14">
        <f>0*E42*F42</f>
        <v>0</v>
      </c>
      <c r="I42" s="14">
        <f t="shared" si="4"/>
        <v>0</v>
      </c>
      <c r="J42" s="14">
        <f>1.97412*E42*F42</f>
        <v>1.97412</v>
      </c>
      <c r="K42" s="14">
        <f>2.9907918*E42*F42</f>
        <v>2.9907918</v>
      </c>
      <c r="L42" s="14">
        <f>1.97412*E42*F42</f>
        <v>1.97412</v>
      </c>
      <c r="M42" s="14">
        <f t="shared" si="5"/>
        <v>204.35103180000002</v>
      </c>
      <c r="N42" s="18">
        <v>0.08484929073243648</v>
      </c>
    </row>
    <row r="43" spans="2:14" ht="24">
      <c r="B43" s="9">
        <v>36</v>
      </c>
      <c r="C43" s="7" t="s">
        <v>79</v>
      </c>
      <c r="D43" s="7" t="s">
        <v>80</v>
      </c>
      <c r="E43" s="11">
        <v>1</v>
      </c>
      <c r="F43" s="11">
        <v>1</v>
      </c>
      <c r="G43" s="14">
        <f>227.0238*E43*F43</f>
        <v>227.0238</v>
      </c>
      <c r="H43" s="14">
        <f>0.723732*E43*F43</f>
        <v>0.723732</v>
      </c>
      <c r="I43" s="14">
        <f t="shared" si="4"/>
        <v>0</v>
      </c>
      <c r="J43" s="14">
        <f>2.270238*E43*F43</f>
        <v>2.270238</v>
      </c>
      <c r="K43" s="14">
        <f>3.45026655*E43*F43</f>
        <v>3.45026655</v>
      </c>
      <c r="L43" s="14">
        <f>2.270238*E43*F43</f>
        <v>2.270238</v>
      </c>
      <c r="M43" s="14">
        <f t="shared" si="5"/>
        <v>235.73827455000003</v>
      </c>
      <c r="N43" s="18">
        <v>0.0978816951295466</v>
      </c>
    </row>
    <row r="44" spans="2:14" ht="24">
      <c r="B44" s="9">
        <v>37</v>
      </c>
      <c r="C44" s="7" t="s">
        <v>81</v>
      </c>
      <c r="D44" s="7" t="s">
        <v>80</v>
      </c>
      <c r="E44" s="11">
        <v>1</v>
      </c>
      <c r="F44" s="11">
        <v>1</v>
      </c>
      <c r="G44" s="14">
        <f>41.95005*E44*F44</f>
        <v>41.95005</v>
      </c>
      <c r="H44" s="14">
        <f>0.36795552*E44*F44</f>
        <v>0.36795552</v>
      </c>
      <c r="I44" s="14">
        <f t="shared" si="4"/>
        <v>0</v>
      </c>
      <c r="J44" s="14">
        <f>0.4195005*E44*F44</f>
        <v>0.4195005</v>
      </c>
      <c r="K44" s="14">
        <f>0.6410625903*E44*F44</f>
        <v>0.6410625903</v>
      </c>
      <c r="L44" s="14">
        <f>0.4195005*E44*F44</f>
        <v>0.4195005</v>
      </c>
      <c r="M44" s="14">
        <f t="shared" si="5"/>
        <v>43.7980691103</v>
      </c>
      <c r="N44" s="18">
        <v>0.018185546051444942</v>
      </c>
    </row>
    <row r="45" spans="2:14" ht="12">
      <c r="B45" s="9">
        <v>38</v>
      </c>
      <c r="C45" s="7" t="s">
        <v>82</v>
      </c>
      <c r="D45" s="7" t="s">
        <v>80</v>
      </c>
      <c r="E45" s="11">
        <v>1</v>
      </c>
      <c r="F45" s="11">
        <v>1</v>
      </c>
      <c r="G45" s="14">
        <f>416.70383*E45*F45</f>
        <v>416.70383</v>
      </c>
      <c r="H45" s="14">
        <f>23.04084*E45*F45</f>
        <v>23.04084</v>
      </c>
      <c r="I45" s="14">
        <f t="shared" si="4"/>
        <v>0</v>
      </c>
      <c r="J45" s="14">
        <f>4.1670383*E45*F45</f>
        <v>4.1670383</v>
      </c>
      <c r="K45" s="14">
        <f>6.6586756245*E45*F45</f>
        <v>6.6586756245</v>
      </c>
      <c r="L45" s="14">
        <f>4.1670383*E45*F45</f>
        <v>4.1670383</v>
      </c>
      <c r="M45" s="14">
        <f t="shared" si="5"/>
        <v>454.7374222245</v>
      </c>
      <c r="N45" s="18">
        <v>0.18881308014636275</v>
      </c>
    </row>
    <row r="46" spans="2:14" ht="12.75">
      <c r="B46" s="45" t="s">
        <v>45</v>
      </c>
      <c r="C46" s="46"/>
      <c r="D46" s="46"/>
      <c r="E46" s="46"/>
      <c r="F46" s="46"/>
      <c r="G46" s="15">
        <f aca="true" t="shared" si="6" ref="G46:N46">SUM(G27:G45)</f>
        <v>18396.476230486718</v>
      </c>
      <c r="H46" s="15">
        <f t="shared" si="6"/>
        <v>486.88042834607995</v>
      </c>
      <c r="I46" s="15">
        <f t="shared" si="6"/>
        <v>0</v>
      </c>
      <c r="J46" s="15">
        <f t="shared" si="6"/>
        <v>183.96476230486715</v>
      </c>
      <c r="K46" s="15">
        <f t="shared" si="6"/>
        <v>286.0098213170649</v>
      </c>
      <c r="L46" s="15">
        <f t="shared" si="6"/>
        <v>183.96476230486715</v>
      </c>
      <c r="M46" s="15">
        <f t="shared" si="6"/>
        <v>19537.296004759603</v>
      </c>
      <c r="N46" s="19">
        <v>8.112147485782929</v>
      </c>
    </row>
    <row r="47" spans="2:14" ht="27.75" customHeight="1">
      <c r="B47" s="47" t="s">
        <v>83</v>
      </c>
      <c r="C47" s="48"/>
      <c r="D47" s="48"/>
      <c r="E47" s="48"/>
      <c r="F47" s="48"/>
      <c r="G47" s="20">
        <f aca="true" t="shared" si="7" ref="G47:N47">G25+G46</f>
        <v>28759.096851748345</v>
      </c>
      <c r="H47" s="20">
        <f t="shared" si="7"/>
        <v>1836.0520751654399</v>
      </c>
      <c r="I47" s="20">
        <f t="shared" si="7"/>
        <v>0</v>
      </c>
      <c r="J47" s="20">
        <f t="shared" si="7"/>
        <v>287.5909685174834</v>
      </c>
      <c r="K47" s="20">
        <f t="shared" si="7"/>
        <v>463.2410984314689</v>
      </c>
      <c r="L47" s="20">
        <f t="shared" si="7"/>
        <v>287.5909685174834</v>
      </c>
      <c r="M47" s="20">
        <f t="shared" si="7"/>
        <v>31633.571962380225</v>
      </c>
      <c r="N47" s="21">
        <f t="shared" si="7"/>
        <v>13.134683591753955</v>
      </c>
    </row>
    <row r="51" spans="3:14" ht="18">
      <c r="C51" s="49" t="s">
        <v>84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</row>
    <row r="52" spans="3:11" ht="19.5" customHeight="1">
      <c r="C52" s="50" t="s">
        <v>85</v>
      </c>
      <c r="D52" s="38"/>
      <c r="E52" s="51">
        <f>G47</f>
        <v>28759.096851748345</v>
      </c>
      <c r="F52" s="38"/>
      <c r="G52" s="50" t="s">
        <v>86</v>
      </c>
      <c r="H52" s="38"/>
      <c r="I52" s="38"/>
      <c r="J52" s="51">
        <f>J47</f>
        <v>287.5909685174834</v>
      </c>
      <c r="K52" s="38"/>
    </row>
    <row r="53" spans="3:11" ht="19.5" customHeight="1">
      <c r="C53" s="50" t="s">
        <v>87</v>
      </c>
      <c r="D53" s="38"/>
      <c r="E53" s="51">
        <f>H47</f>
        <v>1836.0520751654399</v>
      </c>
      <c r="F53" s="38"/>
      <c r="G53" s="50" t="s">
        <v>88</v>
      </c>
      <c r="H53" s="38"/>
      <c r="I53" s="38"/>
      <c r="J53" s="51">
        <f>K47</f>
        <v>463.2410984314689</v>
      </c>
      <c r="K53" s="38"/>
    </row>
    <row r="54" spans="3:11" ht="19.5" customHeight="1">
      <c r="C54" s="50" t="s">
        <v>89</v>
      </c>
      <c r="D54" s="38"/>
      <c r="E54" s="51">
        <f>I47</f>
        <v>0</v>
      </c>
      <c r="F54" s="38"/>
      <c r="G54" s="50" t="s">
        <v>90</v>
      </c>
      <c r="H54" s="38"/>
      <c r="I54" s="38"/>
      <c r="J54" s="51">
        <f>L47</f>
        <v>287.5909685174834</v>
      </c>
      <c r="K54" s="38"/>
    </row>
    <row r="55" spans="3:11" ht="15">
      <c r="C55" s="5"/>
      <c r="E55" s="22"/>
      <c r="G55" s="50" t="s">
        <v>91</v>
      </c>
      <c r="H55" s="38"/>
      <c r="I55" s="38"/>
      <c r="J55" s="51">
        <f>M47</f>
        <v>31633.571962380225</v>
      </c>
      <c r="K55" s="38"/>
    </row>
    <row r="59" spans="3:14" ht="18.75">
      <c r="C59" s="34" t="s">
        <v>157</v>
      </c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</row>
    <row r="60" spans="3:14" ht="18.75">
      <c r="C60" s="34" t="s">
        <v>158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</row>
    <row r="61" spans="3:14" ht="22.5" customHeight="1">
      <c r="C61" s="35" t="s">
        <v>159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 t="s">
        <v>160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G55:I55"/>
    <mergeCell ref="J55:K55"/>
    <mergeCell ref="C53:D53"/>
    <mergeCell ref="E53:F53"/>
    <mergeCell ref="G53:I53"/>
    <mergeCell ref="J53:K53"/>
    <mergeCell ref="C54:D54"/>
    <mergeCell ref="E54:F54"/>
    <mergeCell ref="G54:I54"/>
    <mergeCell ref="J54:K54"/>
    <mergeCell ref="B46:F46"/>
    <mergeCell ref="B47:F47"/>
    <mergeCell ref="C51:N51"/>
    <mergeCell ref="C52:D52"/>
    <mergeCell ref="E52:F52"/>
    <mergeCell ref="G52:I52"/>
    <mergeCell ref="J52:K52"/>
    <mergeCell ref="B1:M1"/>
    <mergeCell ref="B4:K4"/>
    <mergeCell ref="L4:M4"/>
    <mergeCell ref="B5:N5"/>
    <mergeCell ref="B25:F25"/>
    <mergeCell ref="B26:N26"/>
  </mergeCells>
  <printOptions/>
  <pageMargins left="0.35" right="0.35" top="0.35" bottom="0.35" header="0.3" footer="0.3"/>
  <pageSetup fitToHeight="0" fitToWidth="1" horizontalDpi="600" verticalDpi="600" orientation="landscape" paperSize="9" scale="73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B1">
      <selection activeCell="B57" sqref="B57:G57"/>
    </sheetView>
  </sheetViews>
  <sheetFormatPr defaultColWidth="9.140625" defaultRowHeight="12"/>
  <cols>
    <col min="1" max="1" width="0" style="0" hidden="1" customWidth="1"/>
    <col min="2" max="2" width="7.00390625" style="0" customWidth="1"/>
    <col min="3" max="3" width="60.00390625" style="0" customWidth="1"/>
    <col min="4" max="4" width="13.00390625" style="0" customWidth="1"/>
    <col min="5" max="5" width="11.00390625" style="0" customWidth="1"/>
    <col min="6" max="6" width="13.00390625" style="0" customWidth="1"/>
    <col min="7" max="7" width="15.00390625" style="0" customWidth="1"/>
  </cols>
  <sheetData>
    <row r="1" spans="2:7" ht="27.75" customHeight="1">
      <c r="B1" s="55" t="s">
        <v>92</v>
      </c>
      <c r="C1" s="55"/>
      <c r="D1" s="55"/>
      <c r="E1" s="55"/>
      <c r="F1" s="55"/>
      <c r="G1" s="55"/>
    </row>
    <row r="3" spans="1:7" ht="27">
      <c r="A3" s="23"/>
      <c r="B3" s="24" t="s">
        <v>0</v>
      </c>
      <c r="C3" s="24" t="s">
        <v>93</v>
      </c>
      <c r="D3" s="24" t="s">
        <v>94</v>
      </c>
      <c r="E3" s="24" t="s">
        <v>3</v>
      </c>
      <c r="F3" s="24" t="s">
        <v>95</v>
      </c>
      <c r="G3" s="25" t="s">
        <v>11</v>
      </c>
    </row>
    <row r="4" spans="2:7" ht="16.5">
      <c r="B4" s="56" t="s">
        <v>96</v>
      </c>
      <c r="C4" s="56"/>
      <c r="D4" s="56"/>
      <c r="E4" s="56"/>
      <c r="F4" s="56"/>
      <c r="G4" s="56"/>
    </row>
    <row r="5" spans="2:7" ht="12">
      <c r="B5" s="26">
        <v>1</v>
      </c>
      <c r="C5" s="28" t="s">
        <v>97</v>
      </c>
      <c r="D5" s="28" t="s">
        <v>98</v>
      </c>
      <c r="E5" s="29">
        <v>2.49</v>
      </c>
      <c r="F5" s="30">
        <v>220.11438</v>
      </c>
      <c r="G5" s="31">
        <f aca="true" t="shared" si="0" ref="G5:G22">E5*F5</f>
        <v>548.0848062000001</v>
      </c>
    </row>
    <row r="6" spans="2:7" ht="12">
      <c r="B6" s="27">
        <v>2</v>
      </c>
      <c r="C6" s="7" t="s">
        <v>99</v>
      </c>
      <c r="D6" s="7" t="s">
        <v>98</v>
      </c>
      <c r="E6" s="12">
        <v>31.1</v>
      </c>
      <c r="F6" s="14">
        <v>164.51</v>
      </c>
      <c r="G6" s="32">
        <f t="shared" si="0"/>
        <v>5116.2609999999995</v>
      </c>
    </row>
    <row r="7" spans="2:7" ht="12">
      <c r="B7" s="27">
        <v>3</v>
      </c>
      <c r="C7" s="7" t="s">
        <v>100</v>
      </c>
      <c r="D7" s="7" t="s">
        <v>98</v>
      </c>
      <c r="E7" s="12">
        <v>0.39</v>
      </c>
      <c r="F7" s="14">
        <v>195.10886</v>
      </c>
      <c r="G7" s="32">
        <f t="shared" si="0"/>
        <v>76.0924554</v>
      </c>
    </row>
    <row r="8" spans="2:7" ht="12">
      <c r="B8" s="27">
        <v>4</v>
      </c>
      <c r="C8" s="7" t="s">
        <v>101</v>
      </c>
      <c r="D8" s="7" t="s">
        <v>98</v>
      </c>
      <c r="E8" s="12">
        <v>0.07166667</v>
      </c>
      <c r="F8" s="14">
        <v>178.49335</v>
      </c>
      <c r="G8" s="32">
        <f t="shared" si="0"/>
        <v>12.7920240116445</v>
      </c>
    </row>
    <row r="9" spans="2:7" ht="12">
      <c r="B9" s="27">
        <v>5</v>
      </c>
      <c r="C9" s="7" t="s">
        <v>102</v>
      </c>
      <c r="D9" s="7" t="s">
        <v>98</v>
      </c>
      <c r="E9" s="12">
        <v>0.07166667</v>
      </c>
      <c r="F9" s="14">
        <v>195.10886</v>
      </c>
      <c r="G9" s="32">
        <f t="shared" si="0"/>
        <v>13.9828022836962</v>
      </c>
    </row>
    <row r="10" spans="2:7" ht="12">
      <c r="B10" s="27">
        <v>6</v>
      </c>
      <c r="C10" s="7" t="s">
        <v>103</v>
      </c>
      <c r="D10" s="7" t="s">
        <v>98</v>
      </c>
      <c r="E10" s="12">
        <v>3</v>
      </c>
      <c r="F10" s="14">
        <v>220.11438</v>
      </c>
      <c r="G10" s="32">
        <f t="shared" si="0"/>
        <v>660.3431400000001</v>
      </c>
    </row>
    <row r="11" spans="2:7" ht="12">
      <c r="B11" s="27">
        <v>7</v>
      </c>
      <c r="C11" s="7" t="s">
        <v>104</v>
      </c>
      <c r="D11" s="7" t="s">
        <v>98</v>
      </c>
      <c r="E11" s="12">
        <v>0.63</v>
      </c>
      <c r="F11" s="14">
        <v>220.11438</v>
      </c>
      <c r="G11" s="32">
        <f t="shared" si="0"/>
        <v>138.6720594</v>
      </c>
    </row>
    <row r="12" spans="2:7" ht="24">
      <c r="B12" s="27">
        <v>8</v>
      </c>
      <c r="C12" s="7" t="s">
        <v>105</v>
      </c>
      <c r="D12" s="7" t="s">
        <v>98</v>
      </c>
      <c r="E12" s="12">
        <v>0.72</v>
      </c>
      <c r="F12" s="14">
        <v>220.11438</v>
      </c>
      <c r="G12" s="32">
        <f t="shared" si="0"/>
        <v>158.4823536</v>
      </c>
    </row>
    <row r="13" spans="2:7" ht="12">
      <c r="B13" s="27">
        <v>9</v>
      </c>
      <c r="C13" s="7" t="s">
        <v>106</v>
      </c>
      <c r="D13" s="7" t="s">
        <v>98</v>
      </c>
      <c r="E13" s="12">
        <v>3.9</v>
      </c>
      <c r="F13" s="14">
        <v>164.51</v>
      </c>
      <c r="G13" s="32">
        <f t="shared" si="0"/>
        <v>641.5889999999999</v>
      </c>
    </row>
    <row r="14" spans="2:7" ht="24">
      <c r="B14" s="27">
        <v>10</v>
      </c>
      <c r="C14" s="7" t="s">
        <v>107</v>
      </c>
      <c r="D14" s="7" t="s">
        <v>98</v>
      </c>
      <c r="E14" s="12">
        <v>67.45726666</v>
      </c>
      <c r="F14" s="14">
        <v>178.49335</v>
      </c>
      <c r="G14" s="32">
        <f t="shared" si="0"/>
        <v>12040.67350798671</v>
      </c>
    </row>
    <row r="15" spans="2:7" ht="24">
      <c r="B15" s="27">
        <v>11</v>
      </c>
      <c r="C15" s="7" t="s">
        <v>108</v>
      </c>
      <c r="D15" s="7" t="s">
        <v>98</v>
      </c>
      <c r="E15" s="12">
        <v>4</v>
      </c>
      <c r="F15" s="14">
        <v>220.11438</v>
      </c>
      <c r="G15" s="32">
        <f t="shared" si="0"/>
        <v>880.45752</v>
      </c>
    </row>
    <row r="16" spans="2:7" ht="24">
      <c r="B16" s="27">
        <v>12</v>
      </c>
      <c r="C16" s="7" t="s">
        <v>109</v>
      </c>
      <c r="D16" s="7" t="s">
        <v>98</v>
      </c>
      <c r="E16" s="12">
        <v>3.15</v>
      </c>
      <c r="F16" s="14">
        <v>178.49335</v>
      </c>
      <c r="G16" s="32">
        <f t="shared" si="0"/>
        <v>562.2540525</v>
      </c>
    </row>
    <row r="17" spans="2:7" ht="24">
      <c r="B17" s="27">
        <v>13</v>
      </c>
      <c r="C17" s="7" t="s">
        <v>110</v>
      </c>
      <c r="D17" s="7" t="s">
        <v>98</v>
      </c>
      <c r="E17" s="12">
        <v>3.15</v>
      </c>
      <c r="F17" s="14">
        <v>195.10886</v>
      </c>
      <c r="G17" s="32">
        <f t="shared" si="0"/>
        <v>614.592909</v>
      </c>
    </row>
    <row r="18" spans="2:7" ht="12">
      <c r="B18" s="27">
        <v>14</v>
      </c>
      <c r="C18" s="7" t="s">
        <v>111</v>
      </c>
      <c r="D18" s="7" t="s">
        <v>98</v>
      </c>
      <c r="E18" s="12">
        <v>12.6</v>
      </c>
      <c r="F18" s="14">
        <v>195.10886</v>
      </c>
      <c r="G18" s="32">
        <f t="shared" si="0"/>
        <v>2458.371636</v>
      </c>
    </row>
    <row r="19" spans="2:7" ht="12">
      <c r="B19" s="27">
        <v>15</v>
      </c>
      <c r="C19" s="7" t="s">
        <v>112</v>
      </c>
      <c r="D19" s="7" t="s">
        <v>98</v>
      </c>
      <c r="E19" s="12">
        <v>3.35</v>
      </c>
      <c r="F19" s="14">
        <v>178.49335</v>
      </c>
      <c r="G19" s="32">
        <f t="shared" si="0"/>
        <v>597.9527224999999</v>
      </c>
    </row>
    <row r="20" spans="2:7" ht="12">
      <c r="B20" s="27">
        <v>16</v>
      </c>
      <c r="C20" s="7" t="s">
        <v>113</v>
      </c>
      <c r="D20" s="7" t="s">
        <v>98</v>
      </c>
      <c r="E20" s="12">
        <v>3</v>
      </c>
      <c r="F20" s="14">
        <v>220.11438</v>
      </c>
      <c r="G20" s="32">
        <f t="shared" si="0"/>
        <v>660.3431400000001</v>
      </c>
    </row>
    <row r="21" spans="2:7" ht="24">
      <c r="B21" s="27">
        <v>17</v>
      </c>
      <c r="C21" s="7" t="s">
        <v>114</v>
      </c>
      <c r="D21" s="7" t="s">
        <v>98</v>
      </c>
      <c r="E21" s="12">
        <v>7.9</v>
      </c>
      <c r="F21" s="14">
        <v>195.10886</v>
      </c>
      <c r="G21" s="32">
        <f t="shared" si="0"/>
        <v>1541.359994</v>
      </c>
    </row>
    <row r="22" spans="2:7" ht="24">
      <c r="B22" s="27">
        <v>18</v>
      </c>
      <c r="C22" s="7" t="s">
        <v>115</v>
      </c>
      <c r="D22" s="7" t="s">
        <v>98</v>
      </c>
      <c r="E22" s="12">
        <v>9.25333333</v>
      </c>
      <c r="F22" s="14">
        <v>220.11438</v>
      </c>
      <c r="G22" s="32">
        <f t="shared" si="0"/>
        <v>2036.7917288662857</v>
      </c>
    </row>
    <row r="23" spans="2:7" ht="12">
      <c r="B23" s="52" t="s">
        <v>116</v>
      </c>
      <c r="C23" s="53"/>
      <c r="D23" s="53"/>
      <c r="E23" s="53"/>
      <c r="F23" s="54"/>
      <c r="G23" s="33">
        <f>SUM(G5:G22)</f>
        <v>28759.096851748334</v>
      </c>
    </row>
    <row r="24" spans="2:7" ht="16.5">
      <c r="B24" s="56" t="s">
        <v>117</v>
      </c>
      <c r="C24" s="56"/>
      <c r="D24" s="56"/>
      <c r="E24" s="56"/>
      <c r="F24" s="56"/>
      <c r="G24" s="56"/>
    </row>
    <row r="25" spans="2:7" ht="12">
      <c r="B25" s="26">
        <v>19</v>
      </c>
      <c r="C25" s="28" t="s">
        <v>118</v>
      </c>
      <c r="D25" s="28" t="s">
        <v>119</v>
      </c>
      <c r="E25" s="29">
        <v>2E-06</v>
      </c>
      <c r="F25" s="30">
        <v>68894.148</v>
      </c>
      <c r="G25" s="31">
        <f aca="true" t="shared" si="1" ref="G25:G45">E25*F25</f>
        <v>0.137788296</v>
      </c>
    </row>
    <row r="26" spans="2:7" ht="12">
      <c r="B26" s="27">
        <v>20</v>
      </c>
      <c r="C26" s="7" t="s">
        <v>120</v>
      </c>
      <c r="D26" s="7" t="s">
        <v>121</v>
      </c>
      <c r="E26" s="12">
        <v>0.002</v>
      </c>
      <c r="F26" s="14">
        <v>275.07599999999996</v>
      </c>
      <c r="G26" s="32">
        <f t="shared" si="1"/>
        <v>0.550152</v>
      </c>
    </row>
    <row r="27" spans="2:7" ht="12">
      <c r="B27" s="27">
        <v>21</v>
      </c>
      <c r="C27" s="7" t="s">
        <v>122</v>
      </c>
      <c r="D27" s="7" t="s">
        <v>123</v>
      </c>
      <c r="E27" s="12">
        <v>1.3</v>
      </c>
      <c r="F27" s="14">
        <v>26.736</v>
      </c>
      <c r="G27" s="32">
        <f t="shared" si="1"/>
        <v>34.756800000000005</v>
      </c>
    </row>
    <row r="28" spans="2:7" ht="12">
      <c r="B28" s="27">
        <v>22</v>
      </c>
      <c r="C28" s="7" t="s">
        <v>124</v>
      </c>
      <c r="D28" s="7" t="s">
        <v>125</v>
      </c>
      <c r="E28" s="12">
        <v>6.55</v>
      </c>
      <c r="F28" s="14">
        <v>0</v>
      </c>
      <c r="G28" s="32">
        <f t="shared" si="1"/>
        <v>0</v>
      </c>
    </row>
    <row r="29" spans="2:7" ht="24">
      <c r="B29" s="27">
        <v>23</v>
      </c>
      <c r="C29" s="7" t="s">
        <v>126</v>
      </c>
      <c r="D29" s="7" t="s">
        <v>119</v>
      </c>
      <c r="E29" s="12">
        <v>0.00504</v>
      </c>
      <c r="F29" s="14">
        <v>73873.65599999999</v>
      </c>
      <c r="G29" s="32">
        <f t="shared" si="1"/>
        <v>372.32322623999994</v>
      </c>
    </row>
    <row r="30" spans="2:7" ht="24">
      <c r="B30" s="27">
        <v>24</v>
      </c>
      <c r="C30" s="7" t="s">
        <v>127</v>
      </c>
      <c r="D30" s="7" t="s">
        <v>123</v>
      </c>
      <c r="E30" s="12">
        <v>0.2</v>
      </c>
      <c r="F30" s="14">
        <v>141.33599999999998</v>
      </c>
      <c r="G30" s="32">
        <f t="shared" si="1"/>
        <v>28.2672</v>
      </c>
    </row>
    <row r="31" spans="2:7" ht="12">
      <c r="B31" s="27">
        <v>25</v>
      </c>
      <c r="C31" s="7" t="s">
        <v>128</v>
      </c>
      <c r="D31" s="7" t="s">
        <v>123</v>
      </c>
      <c r="E31" s="12">
        <v>5</v>
      </c>
      <c r="F31" s="14">
        <v>81.94800000000001</v>
      </c>
      <c r="G31" s="32">
        <f t="shared" si="1"/>
        <v>409.74</v>
      </c>
    </row>
    <row r="32" spans="2:7" ht="12">
      <c r="B32" s="27">
        <v>26</v>
      </c>
      <c r="C32" s="7" t="s">
        <v>129</v>
      </c>
      <c r="D32" s="7" t="s">
        <v>130</v>
      </c>
      <c r="E32" s="12">
        <v>0.00062</v>
      </c>
      <c r="F32" s="14">
        <v>4621.776</v>
      </c>
      <c r="G32" s="32">
        <f t="shared" si="1"/>
        <v>2.86550112</v>
      </c>
    </row>
    <row r="33" spans="2:7" ht="12">
      <c r="B33" s="27">
        <v>27</v>
      </c>
      <c r="C33" s="7" t="s">
        <v>131</v>
      </c>
      <c r="D33" s="7" t="s">
        <v>123</v>
      </c>
      <c r="E33" s="12">
        <v>0.87</v>
      </c>
      <c r="F33" s="14">
        <v>214.572</v>
      </c>
      <c r="G33" s="32">
        <f t="shared" si="1"/>
        <v>186.67764</v>
      </c>
    </row>
    <row r="34" spans="2:7" ht="12">
      <c r="B34" s="27">
        <v>28</v>
      </c>
      <c r="C34" s="7" t="s">
        <v>132</v>
      </c>
      <c r="D34" s="7" t="s">
        <v>123</v>
      </c>
      <c r="E34" s="12">
        <v>0.9</v>
      </c>
      <c r="F34" s="14">
        <v>43.056000000000004</v>
      </c>
      <c r="G34" s="32">
        <f t="shared" si="1"/>
        <v>38.750400000000006</v>
      </c>
    </row>
    <row r="35" spans="2:7" ht="12">
      <c r="B35" s="27">
        <v>29</v>
      </c>
      <c r="C35" s="7" t="s">
        <v>133</v>
      </c>
      <c r="D35" s="7" t="s">
        <v>134</v>
      </c>
      <c r="E35" s="12">
        <v>3</v>
      </c>
      <c r="F35" s="14">
        <v>6.396</v>
      </c>
      <c r="G35" s="32">
        <f t="shared" si="1"/>
        <v>19.188</v>
      </c>
    </row>
    <row r="36" spans="2:7" ht="12">
      <c r="B36" s="27">
        <v>30</v>
      </c>
      <c r="C36" s="7" t="s">
        <v>135</v>
      </c>
      <c r="D36" s="7" t="s">
        <v>136</v>
      </c>
      <c r="E36" s="12">
        <v>52.5</v>
      </c>
      <c r="F36" s="14">
        <v>4.32</v>
      </c>
      <c r="G36" s="32">
        <f t="shared" si="1"/>
        <v>226.8</v>
      </c>
    </row>
    <row r="37" spans="2:7" ht="12">
      <c r="B37" s="27">
        <v>31</v>
      </c>
      <c r="C37" s="7" t="s">
        <v>137</v>
      </c>
      <c r="D37" s="7" t="s">
        <v>119</v>
      </c>
      <c r="E37" s="12">
        <v>4E-05</v>
      </c>
      <c r="F37" s="14">
        <v>44322.948</v>
      </c>
      <c r="G37" s="32">
        <f t="shared" si="1"/>
        <v>1.77291792</v>
      </c>
    </row>
    <row r="38" spans="2:7" ht="12">
      <c r="B38" s="27">
        <v>32</v>
      </c>
      <c r="C38" s="7" t="s">
        <v>138</v>
      </c>
      <c r="D38" s="7" t="s">
        <v>134</v>
      </c>
      <c r="E38" s="12">
        <v>1</v>
      </c>
      <c r="F38" s="14">
        <v>23.736</v>
      </c>
      <c r="G38" s="32">
        <f t="shared" si="1"/>
        <v>23.736</v>
      </c>
    </row>
    <row r="39" spans="2:7" ht="12">
      <c r="B39" s="27">
        <v>33</v>
      </c>
      <c r="C39" s="7" t="s">
        <v>139</v>
      </c>
      <c r="D39" s="7" t="s">
        <v>119</v>
      </c>
      <c r="E39" s="12">
        <v>7.96E-06</v>
      </c>
      <c r="F39" s="14">
        <v>33211.716</v>
      </c>
      <c r="G39" s="32">
        <f t="shared" si="1"/>
        <v>0.26436525936</v>
      </c>
    </row>
    <row r="40" spans="2:7" ht="12">
      <c r="B40" s="27">
        <v>34</v>
      </c>
      <c r="C40" s="7" t="s">
        <v>140</v>
      </c>
      <c r="D40" s="7" t="s">
        <v>125</v>
      </c>
      <c r="E40" s="12">
        <v>0.008</v>
      </c>
      <c r="F40" s="14">
        <v>3418.56</v>
      </c>
      <c r="G40" s="32">
        <f t="shared" si="1"/>
        <v>27.34848</v>
      </c>
    </row>
    <row r="41" spans="2:7" ht="12">
      <c r="B41" s="27">
        <v>35</v>
      </c>
      <c r="C41" s="7" t="s">
        <v>141</v>
      </c>
      <c r="D41" s="7" t="s">
        <v>119</v>
      </c>
      <c r="E41" s="12">
        <v>0.0001</v>
      </c>
      <c r="F41" s="14">
        <v>41718.18</v>
      </c>
      <c r="G41" s="32">
        <f t="shared" si="1"/>
        <v>4.171818</v>
      </c>
    </row>
    <row r="42" spans="2:7" ht="12">
      <c r="B42" s="27">
        <v>36</v>
      </c>
      <c r="C42" s="7" t="s">
        <v>142</v>
      </c>
      <c r="D42" s="7" t="s">
        <v>119</v>
      </c>
      <c r="E42" s="12">
        <v>4E-06</v>
      </c>
      <c r="F42" s="14">
        <v>118924.77599999998</v>
      </c>
      <c r="G42" s="32">
        <f t="shared" si="1"/>
        <v>0.47569910399999993</v>
      </c>
    </row>
    <row r="43" spans="2:7" ht="12">
      <c r="B43" s="27">
        <v>37</v>
      </c>
      <c r="C43" s="7" t="s">
        <v>143</v>
      </c>
      <c r="D43" s="7" t="s">
        <v>121</v>
      </c>
      <c r="E43" s="12">
        <v>0.2625</v>
      </c>
      <c r="F43" s="14">
        <v>311.772</v>
      </c>
      <c r="G43" s="32">
        <f t="shared" si="1"/>
        <v>81.84015</v>
      </c>
    </row>
    <row r="44" spans="2:7" ht="12">
      <c r="B44" s="27">
        <v>38</v>
      </c>
      <c r="C44" s="7" t="s">
        <v>144</v>
      </c>
      <c r="D44" s="7" t="s">
        <v>134</v>
      </c>
      <c r="E44" s="12">
        <v>1</v>
      </c>
      <c r="F44" s="14">
        <v>119.42399999999999</v>
      </c>
      <c r="G44" s="32">
        <f t="shared" si="1"/>
        <v>119.42399999999999</v>
      </c>
    </row>
    <row r="45" spans="2:7" ht="12">
      <c r="B45" s="27">
        <v>39</v>
      </c>
      <c r="C45" s="7" t="s">
        <v>145</v>
      </c>
      <c r="D45" s="7" t="s">
        <v>134</v>
      </c>
      <c r="E45" s="12">
        <v>1</v>
      </c>
      <c r="F45" s="14">
        <v>127.476</v>
      </c>
      <c r="G45" s="32">
        <f t="shared" si="1"/>
        <v>127.476</v>
      </c>
    </row>
    <row r="46" spans="2:7" ht="12">
      <c r="B46" s="52" t="s">
        <v>116</v>
      </c>
      <c r="C46" s="53"/>
      <c r="D46" s="53"/>
      <c r="E46" s="53"/>
      <c r="F46" s="54"/>
      <c r="G46" s="33">
        <f>SUM(G25:G45)</f>
        <v>1706.56613793936</v>
      </c>
    </row>
    <row r="47" spans="2:7" ht="16.5">
      <c r="B47" s="56" t="s">
        <v>146</v>
      </c>
      <c r="C47" s="56"/>
      <c r="D47" s="56"/>
      <c r="E47" s="56"/>
      <c r="F47" s="56"/>
      <c r="G47" s="56"/>
    </row>
    <row r="48" spans="2:7" ht="12">
      <c r="B48" s="26">
        <v>40</v>
      </c>
      <c r="C48" s="28" t="s">
        <v>147</v>
      </c>
      <c r="D48" s="28" t="s">
        <v>134</v>
      </c>
      <c r="E48" s="29">
        <v>0.03249326</v>
      </c>
      <c r="F48" s="30">
        <v>131.856</v>
      </c>
      <c r="G48" s="31">
        <f aca="true" t="shared" si="2" ref="G48:G56">E48*F48</f>
        <v>4.284431290560001</v>
      </c>
    </row>
    <row r="49" spans="2:7" ht="12">
      <c r="B49" s="27">
        <v>41</v>
      </c>
      <c r="C49" s="7" t="s">
        <v>148</v>
      </c>
      <c r="D49" s="7" t="s">
        <v>134</v>
      </c>
      <c r="E49" s="12">
        <v>0.31547474</v>
      </c>
      <c r="F49" s="14">
        <v>133.82399999999998</v>
      </c>
      <c r="G49" s="32">
        <f t="shared" si="2"/>
        <v>42.218091605759994</v>
      </c>
    </row>
    <row r="50" spans="2:7" ht="12">
      <c r="B50" s="27">
        <v>42</v>
      </c>
      <c r="C50" s="7" t="s">
        <v>149</v>
      </c>
      <c r="D50" s="7" t="s">
        <v>134</v>
      </c>
      <c r="E50" s="12">
        <v>0.0001</v>
      </c>
      <c r="F50" s="14">
        <v>211.56</v>
      </c>
      <c r="G50" s="32">
        <f t="shared" si="2"/>
        <v>0.021156</v>
      </c>
    </row>
    <row r="51" spans="2:7" ht="12">
      <c r="B51" s="27">
        <v>43</v>
      </c>
      <c r="C51" s="7" t="s">
        <v>150</v>
      </c>
      <c r="D51" s="7" t="s">
        <v>134</v>
      </c>
      <c r="E51" s="12">
        <v>0.01</v>
      </c>
      <c r="F51" s="14">
        <v>211.56</v>
      </c>
      <c r="G51" s="32">
        <f t="shared" si="2"/>
        <v>2.1156</v>
      </c>
    </row>
    <row r="52" spans="2:7" ht="12">
      <c r="B52" s="27">
        <v>44</v>
      </c>
      <c r="C52" s="7" t="s">
        <v>151</v>
      </c>
      <c r="D52" s="7" t="s">
        <v>134</v>
      </c>
      <c r="E52" s="12">
        <v>1.114</v>
      </c>
      <c r="F52" s="14">
        <v>68.88</v>
      </c>
      <c r="G52" s="32">
        <f t="shared" si="2"/>
        <v>76.73232</v>
      </c>
    </row>
    <row r="53" spans="2:7" ht="12">
      <c r="B53" s="27">
        <v>45</v>
      </c>
      <c r="C53" s="7" t="s">
        <v>152</v>
      </c>
      <c r="D53" s="7" t="s">
        <v>134</v>
      </c>
      <c r="E53" s="12">
        <v>0.0101</v>
      </c>
      <c r="F53" s="14">
        <v>137.76</v>
      </c>
      <c r="G53" s="32">
        <f t="shared" si="2"/>
        <v>1.391376</v>
      </c>
    </row>
    <row r="54" spans="2:7" ht="12">
      <c r="B54" s="27">
        <v>46</v>
      </c>
      <c r="C54" s="7" t="s">
        <v>153</v>
      </c>
      <c r="D54" s="7" t="s">
        <v>134</v>
      </c>
      <c r="E54" s="12">
        <v>0.01314478</v>
      </c>
      <c r="F54" s="14">
        <v>83.64</v>
      </c>
      <c r="G54" s="32">
        <f t="shared" si="2"/>
        <v>1.0994293992</v>
      </c>
    </row>
    <row r="55" spans="2:7" ht="12">
      <c r="B55" s="27">
        <v>47</v>
      </c>
      <c r="C55" s="7" t="s">
        <v>154</v>
      </c>
      <c r="D55" s="7" t="s">
        <v>134</v>
      </c>
      <c r="E55" s="12">
        <v>0.00680134</v>
      </c>
      <c r="F55" s="14">
        <v>157.43999999999997</v>
      </c>
      <c r="G55" s="32">
        <f t="shared" si="2"/>
        <v>1.0708029695999999</v>
      </c>
    </row>
    <row r="56" spans="2:7" ht="12">
      <c r="B56" s="27">
        <v>48</v>
      </c>
      <c r="C56" s="7" t="s">
        <v>155</v>
      </c>
      <c r="D56" s="7" t="s">
        <v>134</v>
      </c>
      <c r="E56" s="12">
        <v>0.00169192</v>
      </c>
      <c r="F56" s="14">
        <v>326.688</v>
      </c>
      <c r="G56" s="32">
        <f t="shared" si="2"/>
        <v>0.5527299609599999</v>
      </c>
    </row>
    <row r="57" spans="2:7" ht="12">
      <c r="B57" s="52" t="s">
        <v>116</v>
      </c>
      <c r="C57" s="53"/>
      <c r="D57" s="53"/>
      <c r="E57" s="53"/>
      <c r="F57" s="54"/>
      <c r="G57" s="33">
        <f>SUM(G48:G56)</f>
        <v>129.48593722607998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B57:F57"/>
    <mergeCell ref="B1:G1"/>
    <mergeCell ref="B4:G4"/>
    <mergeCell ref="B23:F23"/>
    <mergeCell ref="B24:G24"/>
    <mergeCell ref="B46:F46"/>
    <mergeCell ref="B47:G47"/>
  </mergeCells>
  <printOptions/>
  <pageMargins left="0.35" right="0.35" top="0.35" bottom="0.35" header="0.3" footer="0.3"/>
  <pageSetup fitToHeight="0" fitToWidth="1" horizontalDpi="600" verticalDpi="600" orientation="portrait" paperSize="9" scale="90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Ð¡Ð¼ÐµÑ‚Ð° Ñ€Ð°ÑÑ…Ð¾Ð´Ð¾Ð²</dc:title>
  <dc:subject>Ð¡Ð¼ÐµÑ‚Ð° Ñ€Ð°ÑÑ…Ð¾Ð´Ð¾Ð²</dc:subject>
  <dc:creator>ÐœÐšÐ”-Ñ€Ð°ÑÑ‡ÐµÑ‚. Ð¦ÐµÐ½Ñ‚Ñ€ Ð¼ÑƒÐ½Ð¸Ñ†Ð¸Ð¿Ð°Ð»ÑŒÐ½Ð¾Ð¹ ÑÐºÐ¾Ð½Ð¾Ð¼Ð¸ÐºÐ¸ Ð¸ Ð¿Ñ€Ð°Ð²Ð°</dc:creator>
  <cp:keywords>ÑÐ¼ÐµÑ‚Ð° Ñ€Ð°ÑÑ‡ÐµÑ‚ Ð¶ÐºÑ…</cp:keywords>
  <dc:description>Ð¡Ð¼ÐµÑ‚Ð° Ñ€Ð°ÑÑ…Ð¾Ð´Ð¾Ð² Ð²ÐºÐ»ÑŽÑ‡Ð°ÐµÑ‚ Ð¿ÐµÑ€ÐµÑ‡ÐµÐ½ÑŒ Ñ€Ð°Ð±Ð¾Ñ‚ Ð¸ Ð¿ÐµÑ€ÐµÑ‡ÐµÐ½ÑŒ Ñ€ÐµÑÑƒÑ€ÑÐ¾Ð²</dc:description>
  <cp:lastModifiedBy>1</cp:lastModifiedBy>
  <cp:lastPrinted>2019-04-18T12:12:26Z</cp:lastPrinted>
  <dcterms:created xsi:type="dcterms:W3CDTF">2019-01-29T10:52:52Z</dcterms:created>
  <dcterms:modified xsi:type="dcterms:W3CDTF">2019-04-18T12:12:35Z</dcterms:modified>
  <cp:category>ÑÐ¼ÐµÑ‚Ð°</cp:category>
  <cp:version/>
  <cp:contentType/>
  <cp:contentStatus/>
</cp:coreProperties>
</file>