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Работы" sheetId="1" r:id="rId1"/>
    <sheet name="Ресурсы" sheetId="2" r:id="rId2"/>
  </sheets>
  <definedNames>
    <definedName name="_xlnm.Print_Titles" localSheetId="0">'Работы'!$3:$3</definedName>
    <definedName name="_xlnm.Print_Titles" localSheetId="1">'Ресурсы'!$3:$3</definedName>
  </definedNames>
  <calcPr fullCalcOnLoad="1"/>
</workbook>
</file>

<file path=xl/sharedStrings.xml><?xml version="1.0" encoding="utf-8"?>
<sst xmlns="http://schemas.openxmlformats.org/spreadsheetml/2006/main" count="304" uniqueCount="217">
  <si>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</si>
  <si>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</si>
  <si>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</si>
  <si>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</si>
  <si>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</si>
  <si>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</si>
  <si>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</si>
  <si>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</si>
  <si>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</si>
  <si>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</si>
  <si>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Расходы на управ., руб.</t>
  </si>
  <si>
    <t>Стоимость, руб.</t>
  </si>
  <si>
    <t>Стоимость на кв.м. в мес., руб.</t>
  </si>
  <si>
    <t>Общ. площ.,кв.м.</t>
  </si>
  <si>
    <t>Конструктивные элементы</t>
  </si>
  <si>
    <t>Восстановление организованного отвода воды с балконов, лоджий, козырьков и эркеров</t>
  </si>
  <si>
    <t>100 кв.м. фасадов</t>
  </si>
  <si>
    <t>Восстановление тепловой изоляции дверей</t>
  </si>
  <si>
    <t>100 дверей</t>
  </si>
  <si>
    <t>Итого по разделу:</t>
  </si>
  <si>
    <t>Внутридомовое инженерное оборудование и технические устройства</t>
  </si>
  <si>
    <t>Теплоизоляция сетей  горячего  водоснабжения</t>
  </si>
  <si>
    <t>100 м2 утепленного участка</t>
  </si>
  <si>
    <t>Устранение засоров внутренних канализационных трубопроводов</t>
  </si>
  <si>
    <t>100 м трубы</t>
  </si>
  <si>
    <t>Техническое обслуживание внутридомовых газопроводов диаметром 25-50 мм</t>
  </si>
  <si>
    <t>100 пог. м.</t>
  </si>
  <si>
    <t>Техническое  обслуживание электрического  запирающего устройства (домофон)</t>
  </si>
  <si>
    <t>1 устройство</t>
  </si>
  <si>
    <t>Замена лампы накаливания на энергосберегательную</t>
  </si>
  <si>
    <t>1 лампа</t>
  </si>
  <si>
    <t>Укрепление водосточных труб, колен, воронок с лестниц или подмостей</t>
  </si>
  <si>
    <t>1 ухват</t>
  </si>
  <si>
    <t>Осмотр территории вокруг здания и фундамента</t>
  </si>
  <si>
    <t>1000 кв.м. общей площади</t>
  </si>
  <si>
    <t>Осмотр железобетонных перекрытий</t>
  </si>
  <si>
    <t>1000 кв.м. полов</t>
  </si>
  <si>
    <t>Осмотр железобетонных покрытий</t>
  </si>
  <si>
    <t>Осмотр внутренней отделки стен</t>
  </si>
  <si>
    <t>Осмотр заполнения дверных и оконных проемов</t>
  </si>
  <si>
    <t>Осмотр всех элементов стальных кровель, водостоков</t>
  </si>
  <si>
    <t>1000 кв.м. кровли</t>
  </si>
  <si>
    <t>Проверка исправности  канализационных  вытяжек</t>
  </si>
  <si>
    <t>Проверка наличия тяги в  дымовентиляционных каналах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</si>
  <si>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</si>
  <si>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</si>
  <si>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100 лестничных площадок</t>
  </si>
  <si>
    <t>Проверка изоляции электропроводки и ее укрепление</t>
  </si>
  <si>
    <t>100 м</t>
  </si>
  <si>
    <t>Проверка заземления оболочки электрокабеля</t>
  </si>
  <si>
    <t>Замеры сопротивления изоляции проводов</t>
  </si>
  <si>
    <t xml:space="preserve">измерение 1         </t>
  </si>
  <si>
    <t>Визуальный осмотр узла учета и проверка наличия и нарушения пломб (прибор учета воды диаметром 25-40 мм)</t>
  </si>
  <si>
    <t>1 прибор учета</t>
  </si>
  <si>
    <t>Проверка работоспособности запорной арматуры и очистка фильтров (приборов учета воды диаметром 25-40 мм)</t>
  </si>
  <si>
    <t>1 фильтр</t>
  </si>
  <si>
    <t>При отказе или неисправной работе прибора учета воды диаметром 25-40 мм - поиск неисправностей</t>
  </si>
  <si>
    <t>Санитарное содержание мест общего пользования, благоустройство придомовой территории и прочие работы</t>
  </si>
  <si>
    <t>Подметание лестничных площадок и маршей нижних трех этажей с предварительным их увлажнением (в доме без лифтов и мусоропровода)</t>
  </si>
  <si>
    <t>100 м2 убираемой  площади</t>
  </si>
  <si>
    <t>Подметание лестничных площадок и маршей выше третьего этажа с предварительным их увлажнением (в доме без лифтов и мусоропровода)</t>
  </si>
  <si>
    <t>100 м2  убираемой  площади</t>
  </si>
  <si>
    <t>Протирка пыли  с подоконников в помещениях общего  пользования</t>
  </si>
  <si>
    <t xml:space="preserve">100 м2 подоконников </t>
  </si>
  <si>
    <t>Мытье и протирка дверей  в помещениях общего пользования</t>
  </si>
  <si>
    <t>100 м2 дверей</t>
  </si>
  <si>
    <t>Мытье и протирка оконных рам и переплетов в помещениях общего пользования</t>
  </si>
  <si>
    <t>100 м2 оконных рам</t>
  </si>
  <si>
    <t>Мытье и протирка легкодоступных стекол в окнах  в помещениях общего пользования</t>
  </si>
  <si>
    <t>100 м2 окон</t>
  </si>
  <si>
    <t>Влажная протирка почтовых ящиков (с моющим средством)</t>
  </si>
  <si>
    <t>100 кв.м почтовых ящиков</t>
  </si>
  <si>
    <t>Влажная протирка шкафов для электросчетчиков слаботочных устройств  (с моющим средством)</t>
  </si>
  <si>
    <t>100 кв. м шкафов для электросчетчиков слаботочных устройств</t>
  </si>
  <si>
    <t>Влажная протирка перил лестниц (с моющим средством)</t>
  </si>
  <si>
    <t>100 кв.м. перил лестниц</t>
  </si>
  <si>
    <t>Влажная протирка стен (с моющим средством)</t>
  </si>
  <si>
    <t>100 кв. м стен</t>
  </si>
  <si>
    <t>Обметание пыли с потолков</t>
  </si>
  <si>
    <t>100 кв. м. потолков</t>
  </si>
  <si>
    <t>Подметание в летний период  земельного участка с усовершенствованным покрытием 1 класса</t>
  </si>
  <si>
    <t>1 000 кв.м. территории</t>
  </si>
  <si>
    <t>Уборка детских и спортивных площадок</t>
  </si>
  <si>
    <t>1000 кв.м.</t>
  </si>
  <si>
    <t>Ремонт скамьи без спинки с металлическими опорами (скамьи чугунной со спинкой)</t>
  </si>
  <si>
    <t>скамья</t>
  </si>
  <si>
    <t>Сдвижка и подметание снега при отсутствии снегопада на придомовой территории с усовершенствованным покрытием 1 класса</t>
  </si>
  <si>
    <t>10 000 кв.м. территории</t>
  </si>
  <si>
    <t>Очистка от наледи и льда водосточных труб</t>
  </si>
  <si>
    <t>1 шт</t>
  </si>
  <si>
    <t>Очистка кровли от снега, сбивание сосулек (при толщине слоя до 10 см)</t>
  </si>
  <si>
    <t>100 кв.м. кровли</t>
  </si>
  <si>
    <t>Очистка кровли от мусора, листьев</t>
  </si>
  <si>
    <t>100 кв.м кровли</t>
  </si>
  <si>
    <t>Уборка крыльца и площадки перед входом в подъезд (в холодный период года)</t>
  </si>
  <si>
    <t>100 кв.м</t>
  </si>
  <si>
    <t>Уборка крыльца и площадки перед входом в подъезд (в теплый период года)</t>
  </si>
  <si>
    <t>Мытье ступеней и площадок перед входом в подъезд</t>
  </si>
  <si>
    <t>Ремонт асфальтобетонного покрытия проездов</t>
  </si>
  <si>
    <t>100 м2</t>
  </si>
  <si>
    <t>Дератизация чердаков и подвалов с применением готовой приманки</t>
  </si>
  <si>
    <t>1000 м2  обрабатываемых  помещений</t>
  </si>
  <si>
    <t>Дезинсекция  подвалов</t>
  </si>
  <si>
    <t>ИТОГО ПО СМЕТЕ:</t>
  </si>
  <si>
    <t>ИТОГО ПО СМЕТЕ</t>
  </si>
  <si>
    <t>Трудовые ресурсы, руб.:</t>
  </si>
  <si>
    <t>Накладные расходы, руб.:</t>
  </si>
  <si>
    <t>Материальные ресурсы, руб.:</t>
  </si>
  <si>
    <t>Прибыль, руб.:</t>
  </si>
  <si>
    <t>Машины/механизмы, руб.:</t>
  </si>
  <si>
    <t>Расходы на управление, руб.:</t>
  </si>
  <si>
    <t>ИТОГО, руб.:</t>
  </si>
  <si>
    <t>Смета расходов. Стоимость и количество ресурсов.</t>
  </si>
  <si>
    <t>Ресурс</t>
  </si>
  <si>
    <t>Ед. измерения</t>
  </si>
  <si>
    <t>Цена, руб.</t>
  </si>
  <si>
    <t>Трудовые ресурсы</t>
  </si>
  <si>
    <t>Бетонщик 4 разряда</t>
  </si>
  <si>
    <t>чел.-час</t>
  </si>
  <si>
    <t>Дворник 1 разряда</t>
  </si>
  <si>
    <t>Дезинфектор 3 разряда</t>
  </si>
  <si>
    <t>Дорожный рабочий 3 разряда</t>
  </si>
  <si>
    <t>Изолировщик на термоизоляции 2 разряда</t>
  </si>
  <si>
    <t>Изолировщик на термоизоляции 3 разряда</t>
  </si>
  <si>
    <t>Каменщик 3 разряда</t>
  </si>
  <si>
    <t>Кровельщик по стальным кровлям 2 разряда</t>
  </si>
  <si>
    <t>Кровельщик по стальным кровлям 3 разряда</t>
  </si>
  <si>
    <t>Кровельщик по стальным кровлям 4 разряда</t>
  </si>
  <si>
    <t>Монтажник санитарно-технических систем и оборудования 4 разряда</t>
  </si>
  <si>
    <t>Наладчик контрольно-измерительных приборов и автоматики 4 разряда</t>
  </si>
  <si>
    <t>Плотник 2 разряда</t>
  </si>
  <si>
    <t>Подсобный рабочий 1 разряда</t>
  </si>
  <si>
    <t>Рабочий по комплексному обслуживанию и ремонту зданий 2 разряда</t>
  </si>
  <si>
    <t>Рабочий по комплексному обслуживанию и ремонту зданий 4 разряда</t>
  </si>
  <si>
    <t>Слесарь по эксплуатации и ремонту газового оборудования 2 разряда</t>
  </si>
  <si>
    <t>Слесарь по эксплуатации и ремонту газового оборудования 3 разряда</t>
  </si>
  <si>
    <t>Слесарь-ремонтник 3 разряда</t>
  </si>
  <si>
    <t>Слесарь-сантехник 3 разряда</t>
  </si>
  <si>
    <t>Стеклопротирщик 2 разряда</t>
  </si>
  <si>
    <t>Столяр строительный 4 разряда</t>
  </si>
  <si>
    <t>Электрогазосварщик 2 разряда</t>
  </si>
  <si>
    <t>Электромонтер по ремонту и обслуживанию электрооборудования 3 разряда</t>
  </si>
  <si>
    <t>Электромонтер по ремонту и обслуживанию электрооборудования 4 разряда</t>
  </si>
  <si>
    <t>ИТОГО:</t>
  </si>
  <si>
    <t>Материальные ресурсы</t>
  </si>
  <si>
    <t>Ацетон технический, сорт первый</t>
  </si>
  <si>
    <t>т</t>
  </si>
  <si>
    <t>Битумы нефтяные дорожные</t>
  </si>
  <si>
    <t>Болты с гайками и шайбами для санитарно-технических работ, диаметром 16 мм</t>
  </si>
  <si>
    <t>Бязь суровая арт. 6804</t>
  </si>
  <si>
    <t>10 м2</t>
  </si>
  <si>
    <t>Ветошь</t>
  </si>
  <si>
    <t>кг</t>
  </si>
  <si>
    <t>Винты самонарезающие СМ1-35</t>
  </si>
  <si>
    <t>Вода водопроводная</t>
  </si>
  <si>
    <t>м3</t>
  </si>
  <si>
    <t xml:space="preserve">Гвозди толевые  круглые 3,0х40 мм </t>
  </si>
  <si>
    <t>Готовая приманка</t>
  </si>
  <si>
    <t>Готовая смесь для уничтожения насекомых (порошок Абсолют Дуст)</t>
  </si>
  <si>
    <t>Доски обрезные длиной 4 - 6,5 м, шириной 75 - 150 мм,толщиной 25 мм II сорта</t>
  </si>
  <si>
    <t>Клей ALT</t>
  </si>
  <si>
    <t>Краски масляные и алкидные густотертые: цинковые МА-011-2</t>
  </si>
  <si>
    <t>Краски масляные и алкидные цветные, готовые к применению для наружных работ МА-15</t>
  </si>
  <si>
    <t>Краски масляные и алкидные, готовые к применению белила литопонные: МА-22</t>
  </si>
  <si>
    <t>Лампа энергосберегающая</t>
  </si>
  <si>
    <t>шт.</t>
  </si>
  <si>
    <t xml:space="preserve">Лента изоляционная прорезиненная односторонняя ширина 20 мм, толщина 0,25-0,35 мм </t>
  </si>
  <si>
    <t xml:space="preserve">Лента киперная </t>
  </si>
  <si>
    <t>Маты на крафт-бумаге Ламелла</t>
  </si>
  <si>
    <t>Маты прошивные из супертонкого стекловолокна без связующего толщиной 50 мм</t>
  </si>
  <si>
    <t>Мешки полиэтиленовые, 60 л</t>
  </si>
  <si>
    <t>1000 шт.</t>
  </si>
  <si>
    <t>Моющее средство</t>
  </si>
  <si>
    <t>Мыло</t>
  </si>
  <si>
    <t>Мыло твердое хозяйственное 72%</t>
  </si>
  <si>
    <t>Мыльный раствор</t>
  </si>
  <si>
    <t>л</t>
  </si>
  <si>
    <t>Олифа комбинированная К-3</t>
  </si>
  <si>
    <t>Портландцемент пуццолановый  марки М400</t>
  </si>
  <si>
    <t>Пробки деревянные 100 мм, длина 100 мм</t>
  </si>
  <si>
    <t>Проволока светлая диаметром 3,0 мм</t>
  </si>
  <si>
    <t xml:space="preserve">Раствор асбоцементный </t>
  </si>
  <si>
    <t>Раствор готовый кладочный цементный М25</t>
  </si>
  <si>
    <t>Резина листовая вулканизованная цветная</t>
  </si>
  <si>
    <t>Самоклеющийся уплотнитель с профилем типа D, О</t>
  </si>
  <si>
    <t>м</t>
  </si>
  <si>
    <t>Сетка плетеная одинарная с квадратной ячейкой 12 мм из  проволоки диаметром 1,4 мм</t>
  </si>
  <si>
    <t>м2</t>
  </si>
  <si>
    <t>Смазка солидол жировой Ж</t>
  </si>
  <si>
    <t>Смеси асфальтобетонные дорожные, аэродромные и асфальтобетон (горячие и теплые для плотного асфальтобетона мелко- и крупнозернистые, песчаные)</t>
  </si>
  <si>
    <t xml:space="preserve">Спирт этиловый ректификованный технический, сорт I </t>
  </si>
  <si>
    <t>Сталь листовая оцинкованная толщиной листа 0,7 мм</t>
  </si>
  <si>
    <t>Ткань мешочная</t>
  </si>
  <si>
    <t>Трубы стальные сварные водогазопроводные с резьбой черные обыкновенные (неоцинкованные) диаметр условного прохода 80 мм, толщина стенки 4 мм</t>
  </si>
  <si>
    <t>Ухват (стремена, кронштейн, держатель) для водосточных труб</t>
  </si>
  <si>
    <t>Хомут для крепления траверс окрашенный (применяется вместо п.2)</t>
  </si>
  <si>
    <t>Электроды диаметром 6 мм Э42</t>
  </si>
  <si>
    <t>Специнвентарь</t>
  </si>
  <si>
    <t>Ведро  оцинкованное, 12 л</t>
  </si>
  <si>
    <t xml:space="preserve">Веник обыкновенный </t>
  </si>
  <si>
    <t>Лопата совковая</t>
  </si>
  <si>
    <t>Лопата штыковая</t>
  </si>
  <si>
    <t>Метла березовая</t>
  </si>
  <si>
    <t>Скребок-ледоруб</t>
  </si>
  <si>
    <t>Совок металлический</t>
  </si>
  <si>
    <t>Щетка д/пола 280 мм с черенком на резьбе 1,2 м.</t>
  </si>
  <si>
    <t xml:space="preserve">Щетка для мытья окон </t>
  </si>
  <si>
    <t>Машины/Механизмы</t>
  </si>
  <si>
    <t>Катки дорожные самоходные гладкие, 8т.</t>
  </si>
  <si>
    <t>маш.-час</t>
  </si>
  <si>
    <t>Компрессор передвижной с двигателем внутреннего сгорания давлением до 686 кПа (7 ат) до 5 м3/мин</t>
  </si>
  <si>
    <t>Смета расходов на содержание общего имущества многоквартирного дома</t>
  </si>
  <si>
    <t>Заместитель главы</t>
  </si>
  <si>
    <t>Новокубанского городского</t>
  </si>
  <si>
    <t>поселения Новокубанского района</t>
  </si>
  <si>
    <t>А.В. Кузьмин</t>
  </si>
  <si>
    <t>Лот № 4 - МКД по ул. Нева 34 в г. Новокубанске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</si>
</sst>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9"/>
      <color indexed="8"/>
      <name val="Arial"/>
      <family val="0"/>
    </font>
    <font>
      <b/>
      <sz val="18"/>
      <color indexed="10"/>
      <name val="Arial"/>
      <family val="0"/>
    </font>
    <font>
      <b/>
      <sz val="10"/>
      <color indexed="9"/>
      <name val="Arial"/>
      <family val="0"/>
    </font>
    <font>
      <b/>
      <sz val="14"/>
      <color indexed="12"/>
      <name val="Arial"/>
      <family val="0"/>
    </font>
    <font>
      <b/>
      <sz val="11"/>
      <color indexed="13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4"/>
      <color indexed="13"/>
      <name val="Arial"/>
      <family val="0"/>
    </font>
    <font>
      <b/>
      <sz val="18"/>
      <color indexed="17"/>
      <name val="Courier"/>
      <family val="0"/>
    </font>
    <font>
      <b/>
      <sz val="10"/>
      <color indexed="9"/>
      <name val="Courier"/>
      <family val="0"/>
    </font>
    <font>
      <b/>
      <sz val="12"/>
      <color indexed="17"/>
      <name val="Courier"/>
      <family val="0"/>
    </font>
    <font>
      <b/>
      <sz val="9"/>
      <color indexed="17"/>
      <name val="Arial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 applyFill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4" fontId="0" fillId="0" borderId="13" xfId="0" applyNumberFormat="1" applyFill="1" applyBorder="1" applyAlignment="1" applyProtection="1">
      <alignment horizontal="right" vertical="center" wrapText="1"/>
      <protection/>
    </xf>
    <xf numFmtId="4" fontId="0" fillId="0" borderId="14" xfId="0" applyNumberFormat="1" applyFill="1" applyBorder="1" applyAlignment="1" applyProtection="1">
      <alignment horizontal="right" vertical="center" wrapText="1"/>
      <protection/>
    </xf>
    <xf numFmtId="4" fontId="7" fillId="34" borderId="17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right" vertical="center" wrapText="1"/>
      <protection/>
    </xf>
    <xf numFmtId="4" fontId="6" fillId="35" borderId="18" xfId="0" applyNumberFormat="1" applyFont="1" applyFill="1" applyBorder="1" applyAlignment="1" applyProtection="1">
      <alignment horizontal="right" vertical="center" wrapText="1"/>
      <protection/>
    </xf>
    <xf numFmtId="4" fontId="6" fillId="35" borderId="19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left" vertical="center" wrapText="1"/>
      <protection/>
    </xf>
    <xf numFmtId="0" fontId="10" fillId="36" borderId="20" xfId="0" applyFont="1" applyFill="1" applyBorder="1" applyAlignment="1" applyProtection="1">
      <alignment horizontal="center" vertical="center" wrapText="1"/>
      <protection/>
    </xf>
    <xf numFmtId="0" fontId="10" fillId="36" borderId="21" xfId="0" applyFont="1" applyFill="1" applyBorder="1" applyAlignment="1" applyProtection="1">
      <alignment horizontal="center" vertical="center" wrapText="1"/>
      <protection/>
    </xf>
    <xf numFmtId="0" fontId="10" fillId="36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left" vertical="center" wrapText="1"/>
      <protection/>
    </xf>
    <xf numFmtId="0" fontId="0" fillId="0" borderId="25" xfId="0" applyFill="1" applyBorder="1" applyAlignment="1" applyProtection="1">
      <alignment horizontal="right" vertical="center" wrapText="1"/>
      <protection/>
    </xf>
    <xf numFmtId="4" fontId="0" fillId="0" borderId="25" xfId="0" applyNumberFormat="1" applyFill="1" applyBorder="1" applyAlignment="1" applyProtection="1">
      <alignment horizontal="right" vertical="center" wrapText="1"/>
      <protection/>
    </xf>
    <xf numFmtId="4" fontId="0" fillId="0" borderId="26" xfId="0" applyNumberFormat="1" applyFill="1" applyBorder="1" applyAlignment="1" applyProtection="1">
      <alignment horizontal="right" vertical="center" wrapText="1"/>
      <protection/>
    </xf>
    <xf numFmtId="4" fontId="0" fillId="0" borderId="27" xfId="0" applyNumberFormat="1" applyFill="1" applyBorder="1" applyAlignment="1" applyProtection="1">
      <alignment horizontal="right" vertical="center" wrapText="1"/>
      <protection/>
    </xf>
    <xf numFmtId="4" fontId="12" fillId="0" borderId="28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4" fontId="0" fillId="0" borderId="29" xfId="52" applyNumberFormat="1" applyFill="1" applyBorder="1" applyAlignment="1" applyProtection="1">
      <alignment horizontal="right" vertical="center" wrapText="1"/>
      <protection/>
    </xf>
    <xf numFmtId="4" fontId="0" fillId="0" borderId="30" xfId="52" applyNumberFormat="1" applyFill="1" applyBorder="1" applyAlignment="1" applyProtection="1">
      <alignment horizontal="right" vertical="center" wrapText="1"/>
      <protection/>
    </xf>
    <xf numFmtId="4" fontId="0" fillId="0" borderId="31" xfId="52" applyNumberForma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4" fontId="4" fillId="0" borderId="0" xfId="0" applyNumberFormat="1" applyFont="1" applyFill="1" applyAlignment="1" applyProtection="1">
      <alignment horizontal="left" vertical="center" wrapText="1"/>
      <protection/>
    </xf>
    <xf numFmtId="0" fontId="6" fillId="34" borderId="32" xfId="0" applyFont="1" applyFill="1" applyBorder="1" applyAlignment="1" applyProtection="1">
      <alignment horizontal="left" vertical="center" wrapText="1"/>
      <protection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5" fillId="37" borderId="33" xfId="0" applyFont="1" applyFill="1" applyBorder="1" applyAlignment="1" applyProtection="1">
      <alignment horizontal="left" vertical="center" wrapText="1"/>
      <protection/>
    </xf>
    <xf numFmtId="0" fontId="5" fillId="37" borderId="34" xfId="0" applyFont="1" applyFill="1" applyBorder="1" applyAlignment="1" applyProtection="1">
      <alignment horizontal="left" vertical="center" wrapText="1"/>
      <protection/>
    </xf>
    <xf numFmtId="4" fontId="5" fillId="37" borderId="34" xfId="0" applyNumberFormat="1" applyFont="1" applyFill="1" applyBorder="1" applyAlignment="1" applyProtection="1">
      <alignment horizontal="left" vertical="center" wrapText="1"/>
      <protection/>
    </xf>
    <xf numFmtId="4" fontId="5" fillId="37" borderId="35" xfId="0" applyNumberFormat="1" applyFont="1" applyFill="1" applyBorder="1" applyAlignment="1" applyProtection="1">
      <alignment horizontal="left" vertical="center" wrapText="1"/>
      <protection/>
    </xf>
    <xf numFmtId="0" fontId="6" fillId="35" borderId="36" xfId="0" applyFont="1" applyFill="1" applyBorder="1" applyAlignment="1" applyProtection="1">
      <alignment horizontal="right" vertical="center" wrapText="1"/>
      <protection/>
    </xf>
    <xf numFmtId="0" fontId="6" fillId="35" borderId="18" xfId="0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left" vertical="center" wrapText="1"/>
      <protection/>
    </xf>
    <xf numFmtId="4" fontId="4" fillId="0" borderId="0" xfId="0" applyNumberFormat="1" applyFont="1" applyFill="1" applyAlignment="1" applyProtection="1">
      <alignment horizontal="right" vertical="center" wrapText="1"/>
      <protection/>
    </xf>
    <xf numFmtId="0" fontId="12" fillId="0" borderId="38" xfId="0" applyFont="1" applyFill="1" applyBorder="1" applyAlignment="1" applyProtection="1">
      <alignment horizontal="left" vertical="center" wrapText="1"/>
      <protection/>
    </xf>
    <xf numFmtId="0" fontId="12" fillId="0" borderId="39" xfId="0" applyFont="1" applyFill="1" applyBorder="1" applyAlignment="1" applyProtection="1">
      <alignment horizontal="left" vertical="center" wrapText="1"/>
      <protection/>
    </xf>
    <xf numFmtId="4" fontId="12" fillId="0" borderId="39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7474F"/>
      <rgbColor rgb="00546E7A"/>
      <rgbColor rgb="00E65100"/>
      <rgbColor rgb="00455A64"/>
      <rgbColor rgb="00CFD8DC"/>
      <rgbColor rgb="00ECEFF1"/>
      <rgbColor rgb="00FFE0B2"/>
      <rgbColor rgb="00600000"/>
      <rgbColor rgb="004682B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1"/>
  <sheetViews>
    <sheetView tabSelected="1" workbookViewId="0" topLeftCell="B1">
      <selection activeCell="M13" sqref="M13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50.00390625" style="0" customWidth="1"/>
    <col min="4" max="4" width="18.00390625" style="0" customWidth="1"/>
    <col min="5" max="5" width="15.00390625" style="0" customWidth="1"/>
    <col min="6" max="6" width="12.00390625" style="0" customWidth="1"/>
    <col min="7" max="12" width="13.00390625" style="0" customWidth="1"/>
    <col min="13" max="13" width="15.00390625" style="0" customWidth="1"/>
    <col min="14" max="14" width="18.8515625" style="0" customWidth="1"/>
  </cols>
  <sheetData>
    <row r="1" spans="2:14" ht="23.25">
      <c r="B1" s="48" t="s">
        <v>211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1"/>
    </row>
    <row r="3" spans="2:14" ht="40.5" customHeight="1"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4" t="s">
        <v>12</v>
      </c>
    </row>
    <row r="4" spans="2:14" ht="21.75" customHeight="1">
      <c r="B4" s="49" t="s">
        <v>216</v>
      </c>
      <c r="C4" s="37"/>
      <c r="D4" s="37"/>
      <c r="E4" s="37"/>
      <c r="F4" s="37"/>
      <c r="G4" s="50"/>
      <c r="H4" s="50"/>
      <c r="I4" s="50"/>
      <c r="J4" s="50"/>
      <c r="K4" s="50"/>
      <c r="L4" s="51" t="s">
        <v>13</v>
      </c>
      <c r="M4" s="51"/>
      <c r="N4" s="16">
        <v>3574.1</v>
      </c>
    </row>
    <row r="5" spans="2:14" ht="21.75" customHeight="1" thickBot="1" thickTop="1">
      <c r="B5" s="41" t="s">
        <v>14</v>
      </c>
      <c r="C5" s="42"/>
      <c r="D5" s="42"/>
      <c r="E5" s="42"/>
      <c r="F5" s="42"/>
      <c r="G5" s="43"/>
      <c r="H5" s="43"/>
      <c r="I5" s="43"/>
      <c r="J5" s="43"/>
      <c r="K5" s="43"/>
      <c r="L5" s="43"/>
      <c r="M5" s="43"/>
      <c r="N5" s="44"/>
    </row>
    <row r="6" spans="2:14" ht="24.75" thickTop="1">
      <c r="B6" s="8">
        <v>1</v>
      </c>
      <c r="C6" s="6" t="s">
        <v>15</v>
      </c>
      <c r="D6" s="6" t="s">
        <v>16</v>
      </c>
      <c r="E6" s="10">
        <v>1</v>
      </c>
      <c r="F6" s="10">
        <v>1</v>
      </c>
      <c r="G6" s="13">
        <f>1207.948*E6*F6</f>
        <v>1207.948</v>
      </c>
      <c r="H6" s="13">
        <f>1253.9753856*E6*F6</f>
        <v>1253.9753856</v>
      </c>
      <c r="I6" s="13">
        <f>0*E6*F6</f>
        <v>0</v>
      </c>
      <c r="J6" s="13">
        <f>1207.948*E6*F6</f>
        <v>1207.948</v>
      </c>
      <c r="K6" s="13">
        <f>385.336495488*E6*F6</f>
        <v>385.336495488</v>
      </c>
      <c r="L6" s="13">
        <f>120.7948*E6*F6</f>
        <v>120.7948</v>
      </c>
      <c r="M6" s="13">
        <f>SUM(G6:L6)</f>
        <v>4176.002681088</v>
      </c>
      <c r="N6" s="33">
        <v>0.08726402954537475</v>
      </c>
    </row>
    <row r="7" spans="2:14" ht="12">
      <c r="B7" s="9">
        <v>2</v>
      </c>
      <c r="C7" s="7" t="s">
        <v>17</v>
      </c>
      <c r="D7" s="7" t="s">
        <v>18</v>
      </c>
      <c r="E7" s="11">
        <v>1</v>
      </c>
      <c r="F7" s="11">
        <v>1</v>
      </c>
      <c r="G7" s="14">
        <f>12326*E7*F7</f>
        <v>12326</v>
      </c>
      <c r="H7" s="14">
        <f>4965.12*E7*F7</f>
        <v>4965.12</v>
      </c>
      <c r="I7" s="14">
        <f>0*E7*F7</f>
        <v>0</v>
      </c>
      <c r="J7" s="14">
        <f>12326*E7*F7</f>
        <v>12326</v>
      </c>
      <c r="K7" s="14">
        <f>3109.7976*E7*F7</f>
        <v>3109.7976</v>
      </c>
      <c r="L7" s="14">
        <f>1232.6*E7*F7</f>
        <v>1232.6</v>
      </c>
      <c r="M7" s="14">
        <f>SUM(G7:L7)</f>
        <v>33959.5176</v>
      </c>
      <c r="N7" s="34">
        <v>0.7096366007171694</v>
      </c>
    </row>
    <row r="8" spans="2:14" ht="19.5" customHeight="1" thickBot="1">
      <c r="B8" s="39" t="s">
        <v>19</v>
      </c>
      <c r="C8" s="40"/>
      <c r="D8" s="40"/>
      <c r="E8" s="40"/>
      <c r="F8" s="40"/>
      <c r="G8" s="15">
        <f aca="true" t="shared" si="0" ref="G8:M8">SUM(G6:G7)</f>
        <v>13533.948</v>
      </c>
      <c r="H8" s="15">
        <f t="shared" si="0"/>
        <v>6219.0953856</v>
      </c>
      <c r="I8" s="15">
        <f t="shared" si="0"/>
        <v>0</v>
      </c>
      <c r="J8" s="15">
        <f t="shared" si="0"/>
        <v>13533.948</v>
      </c>
      <c r="K8" s="15">
        <f t="shared" si="0"/>
        <v>3495.1340954879997</v>
      </c>
      <c r="L8" s="15">
        <f t="shared" si="0"/>
        <v>1353.3947999999998</v>
      </c>
      <c r="M8" s="15">
        <f t="shared" si="0"/>
        <v>38135.520281088</v>
      </c>
      <c r="N8" s="35">
        <v>0.7969006302625441</v>
      </c>
    </row>
    <row r="9" spans="2:14" ht="20.25" customHeight="1" thickBot="1" thickTop="1">
      <c r="B9" s="41" t="s">
        <v>20</v>
      </c>
      <c r="C9" s="42"/>
      <c r="D9" s="42"/>
      <c r="E9" s="42"/>
      <c r="F9" s="42"/>
      <c r="G9" s="43"/>
      <c r="H9" s="43"/>
      <c r="I9" s="43"/>
      <c r="J9" s="43"/>
      <c r="K9" s="43"/>
      <c r="L9" s="43"/>
      <c r="M9" s="43"/>
      <c r="N9" s="44"/>
    </row>
    <row r="10" spans="2:14" ht="24.75" thickTop="1">
      <c r="B10" s="8">
        <v>3</v>
      </c>
      <c r="C10" s="6" t="s">
        <v>21</v>
      </c>
      <c r="D10" s="6" t="s">
        <v>22</v>
      </c>
      <c r="E10" s="10">
        <v>1</v>
      </c>
      <c r="F10" s="10">
        <v>1</v>
      </c>
      <c r="G10" s="13">
        <f>23361.03*E10*F10</f>
        <v>23361.03</v>
      </c>
      <c r="H10" s="13">
        <f>253411.7362524*E10*F10</f>
        <v>253411.7362524</v>
      </c>
      <c r="I10" s="13">
        <f aca="true" t="shared" si="1" ref="I10:I31">0*E10*F10</f>
        <v>0</v>
      </c>
      <c r="J10" s="13">
        <f>23361.03*E10*F10</f>
        <v>23361.03</v>
      </c>
      <c r="K10" s="13">
        <f>31514.048606502*E10*F10</f>
        <v>31514.048606502</v>
      </c>
      <c r="L10" s="13">
        <f>2336.103*E10*F10</f>
        <v>2336.103</v>
      </c>
      <c r="M10" s="13">
        <f aca="true" t="shared" si="2" ref="M10:M31">SUM(G10:L10)</f>
        <v>333983.94785890204</v>
      </c>
      <c r="N10" s="33">
        <v>6.979110723666216</v>
      </c>
    </row>
    <row r="11" spans="2:14" ht="24">
      <c r="B11" s="9">
        <v>4</v>
      </c>
      <c r="C11" s="7" t="s">
        <v>23</v>
      </c>
      <c r="D11" s="7" t="s">
        <v>24</v>
      </c>
      <c r="E11" s="11">
        <v>1</v>
      </c>
      <c r="F11" s="11">
        <v>1</v>
      </c>
      <c r="G11" s="14">
        <f>2489.852*E11*F11</f>
        <v>2489.852</v>
      </c>
      <c r="H11" s="14">
        <f>1045.33266*E11*F11</f>
        <v>1045.33266</v>
      </c>
      <c r="I11" s="14">
        <f t="shared" si="1"/>
        <v>0</v>
      </c>
      <c r="J11" s="14">
        <f>2489.852*E11*F11</f>
        <v>2489.852</v>
      </c>
      <c r="K11" s="14">
        <f>632.6288493*E11*F11</f>
        <v>632.6288493</v>
      </c>
      <c r="L11" s="14">
        <f>248.9852*E11*F11</f>
        <v>248.9852</v>
      </c>
      <c r="M11" s="14">
        <f t="shared" si="2"/>
        <v>6906.6507093</v>
      </c>
      <c r="N11" s="34">
        <v>0.1443251399922265</v>
      </c>
    </row>
    <row r="12" spans="2:14" ht="24">
      <c r="B12" s="9">
        <v>5</v>
      </c>
      <c r="C12" s="7" t="s">
        <v>25</v>
      </c>
      <c r="D12" s="7" t="s">
        <v>26</v>
      </c>
      <c r="E12" s="11">
        <v>1</v>
      </c>
      <c r="F12" s="11">
        <v>1</v>
      </c>
      <c r="G12" s="14">
        <f>1486.611*E12*F12</f>
        <v>1486.611</v>
      </c>
      <c r="H12" s="14">
        <f>623.50861008*E12*F12</f>
        <v>623.50861008</v>
      </c>
      <c r="I12" s="14">
        <f t="shared" si="1"/>
        <v>0</v>
      </c>
      <c r="J12" s="14">
        <f>1486.611*E12*F12</f>
        <v>1486.611</v>
      </c>
      <c r="K12" s="14">
        <f>377.6567140584*E12*F12</f>
        <v>377.6567140584</v>
      </c>
      <c r="L12" s="14">
        <f>148.6611*E12*F12</f>
        <v>148.6611</v>
      </c>
      <c r="M12" s="14">
        <f t="shared" si="2"/>
        <v>4123.048424138401</v>
      </c>
      <c r="N12" s="34">
        <v>0.08615746851179822</v>
      </c>
    </row>
    <row r="13" spans="2:14" ht="24">
      <c r="B13" s="9">
        <v>6</v>
      </c>
      <c r="C13" s="7" t="s">
        <v>27</v>
      </c>
      <c r="D13" s="7" t="s">
        <v>28</v>
      </c>
      <c r="E13" s="11">
        <v>1</v>
      </c>
      <c r="F13" s="11">
        <v>1</v>
      </c>
      <c r="G13" s="14">
        <f>221.868*E13*F13</f>
        <v>221.868</v>
      </c>
      <c r="H13" s="14">
        <f>1.652158752*E13*F13</f>
        <v>1.652158752</v>
      </c>
      <c r="I13" s="14">
        <f t="shared" si="1"/>
        <v>0</v>
      </c>
      <c r="J13" s="14">
        <f>221.868*E13*F13</f>
        <v>221.868</v>
      </c>
      <c r="K13" s="14">
        <f>46.76575666896*E13*F13</f>
        <v>46.76575666896</v>
      </c>
      <c r="L13" s="14">
        <f>22.1868*E13*F13</f>
        <v>22.1868</v>
      </c>
      <c r="M13" s="14">
        <f t="shared" si="2"/>
        <v>514.34071542096</v>
      </c>
      <c r="N13" s="34">
        <v>0.010747944102179092</v>
      </c>
    </row>
    <row r="14" spans="2:14" ht="12">
      <c r="B14" s="9">
        <v>7</v>
      </c>
      <c r="C14" s="7" t="s">
        <v>29</v>
      </c>
      <c r="D14" s="7" t="s">
        <v>30</v>
      </c>
      <c r="E14" s="11">
        <v>1</v>
      </c>
      <c r="F14" s="11">
        <v>1</v>
      </c>
      <c r="G14" s="14">
        <f>23.4194*E14*F14</f>
        <v>23.4194</v>
      </c>
      <c r="H14" s="14">
        <f>228.756*E14*F14</f>
        <v>228.756</v>
      </c>
      <c r="I14" s="14">
        <f t="shared" si="1"/>
        <v>0</v>
      </c>
      <c r="J14" s="14">
        <f>23.4194*E14*F14</f>
        <v>23.4194</v>
      </c>
      <c r="K14" s="14">
        <f>28.937454*E14*F14</f>
        <v>28.937454</v>
      </c>
      <c r="L14" s="14">
        <f>2.34194*E14*F14</f>
        <v>2.34194</v>
      </c>
      <c r="M14" s="14">
        <f t="shared" si="2"/>
        <v>306.87419400000005</v>
      </c>
      <c r="N14" s="34">
        <v>0.006412610521828532</v>
      </c>
    </row>
    <row r="15" spans="2:14" ht="24">
      <c r="B15" s="9">
        <v>8</v>
      </c>
      <c r="C15" s="7" t="s">
        <v>31</v>
      </c>
      <c r="D15" s="7" t="s">
        <v>32</v>
      </c>
      <c r="E15" s="11">
        <v>1</v>
      </c>
      <c r="F15" s="11">
        <v>1</v>
      </c>
      <c r="G15" s="14">
        <f>33.8223682398*E15*F15</f>
        <v>33.8223682398</v>
      </c>
      <c r="H15" s="14">
        <f>295.25797671312*E15*F15</f>
        <v>295.25797671312</v>
      </c>
      <c r="I15" s="14">
        <f t="shared" si="1"/>
        <v>0</v>
      </c>
      <c r="J15" s="14">
        <f>33.8223682398*E15*F15</f>
        <v>33.8223682398</v>
      </c>
      <c r="K15" s="14">
        <f>38.104784885236*E15*F15</f>
        <v>38.104784885236</v>
      </c>
      <c r="L15" s="14">
        <f>3.38223682398*E15*F15</f>
        <v>3.38223682398</v>
      </c>
      <c r="M15" s="14">
        <f t="shared" si="2"/>
        <v>404.3897349019359</v>
      </c>
      <c r="N15" s="34">
        <v>0.008450348447845063</v>
      </c>
    </row>
    <row r="16" spans="2:14" ht="24">
      <c r="B16" s="9">
        <v>9</v>
      </c>
      <c r="C16" s="7" t="s">
        <v>33</v>
      </c>
      <c r="D16" s="7" t="s">
        <v>34</v>
      </c>
      <c r="E16" s="11">
        <v>1</v>
      </c>
      <c r="F16" s="11">
        <v>2</v>
      </c>
      <c r="G16" s="14">
        <f>96.1428*E16*F16</f>
        <v>192.2856</v>
      </c>
      <c r="H16" s="14">
        <f aca="true" t="shared" si="3" ref="H16:H25">0*E16*F16</f>
        <v>0</v>
      </c>
      <c r="I16" s="14">
        <f t="shared" si="1"/>
        <v>0</v>
      </c>
      <c r="J16" s="14">
        <f>96.1428*E16*F16</f>
        <v>192.2856</v>
      </c>
      <c r="K16" s="14">
        <f>20.189988*E16*F16</f>
        <v>40.379976</v>
      </c>
      <c r="L16" s="14">
        <f>9.61428*E16*F16</f>
        <v>19.22856</v>
      </c>
      <c r="M16" s="14">
        <f t="shared" si="2"/>
        <v>444.179736</v>
      </c>
      <c r="N16" s="34">
        <v>0.009281822011585044</v>
      </c>
    </row>
    <row r="17" spans="2:14" ht="12">
      <c r="B17" s="9">
        <v>10</v>
      </c>
      <c r="C17" s="7" t="s">
        <v>35</v>
      </c>
      <c r="D17" s="7" t="s">
        <v>36</v>
      </c>
      <c r="E17" s="11">
        <v>1</v>
      </c>
      <c r="F17" s="11">
        <v>2</v>
      </c>
      <c r="G17" s="14">
        <f>380.8874*E17*F17</f>
        <v>761.7748</v>
      </c>
      <c r="H17" s="14">
        <f t="shared" si="3"/>
        <v>0</v>
      </c>
      <c r="I17" s="14">
        <f t="shared" si="1"/>
        <v>0</v>
      </c>
      <c r="J17" s="14">
        <f>380.8874*E17*F17</f>
        <v>761.7748</v>
      </c>
      <c r="K17" s="14">
        <f>79.986354*E17*F17</f>
        <v>159.972708</v>
      </c>
      <c r="L17" s="14">
        <f>38.08874*E17*F17</f>
        <v>76.17748</v>
      </c>
      <c r="M17" s="14">
        <f t="shared" si="2"/>
        <v>1759.6997880000001</v>
      </c>
      <c r="N17" s="34">
        <v>0.03677164648060383</v>
      </c>
    </row>
    <row r="18" spans="2:14" ht="12">
      <c r="B18" s="9">
        <v>11</v>
      </c>
      <c r="C18" s="7" t="s">
        <v>37</v>
      </c>
      <c r="D18" s="7" t="s">
        <v>36</v>
      </c>
      <c r="E18" s="11">
        <v>1</v>
      </c>
      <c r="F18" s="11">
        <v>2</v>
      </c>
      <c r="G18" s="14">
        <f>311.3824*E18*F18</f>
        <v>622.7648</v>
      </c>
      <c r="H18" s="14">
        <f t="shared" si="3"/>
        <v>0</v>
      </c>
      <c r="I18" s="14">
        <f t="shared" si="1"/>
        <v>0</v>
      </c>
      <c r="J18" s="14">
        <f>311.3824*E18*F18</f>
        <v>622.7648</v>
      </c>
      <c r="K18" s="14">
        <f>65.390304*E18*F18</f>
        <v>130.780608</v>
      </c>
      <c r="L18" s="14">
        <f>31.13824*E18*F18</f>
        <v>62.27648</v>
      </c>
      <c r="M18" s="14">
        <f t="shared" si="2"/>
        <v>1438.586688</v>
      </c>
      <c r="N18" s="34">
        <v>0.030061492013340355</v>
      </c>
    </row>
    <row r="19" spans="2:14" ht="24">
      <c r="B19" s="9">
        <v>12</v>
      </c>
      <c r="C19" s="7" t="s">
        <v>38</v>
      </c>
      <c r="D19" s="7" t="s">
        <v>34</v>
      </c>
      <c r="E19" s="11">
        <v>1</v>
      </c>
      <c r="F19" s="11">
        <v>2</v>
      </c>
      <c r="G19" s="14">
        <f>1112.08*E19*F19</f>
        <v>2224.16</v>
      </c>
      <c r="H19" s="14">
        <f t="shared" si="3"/>
        <v>0</v>
      </c>
      <c r="I19" s="14">
        <f t="shared" si="1"/>
        <v>0</v>
      </c>
      <c r="J19" s="14">
        <f>1112.08*E19*F19</f>
        <v>2224.16</v>
      </c>
      <c r="K19" s="14">
        <f>233.5368*E19*F19</f>
        <v>467.0736</v>
      </c>
      <c r="L19" s="14">
        <f>111.208*E19*F19</f>
        <v>222.416</v>
      </c>
      <c r="M19" s="14">
        <f t="shared" si="2"/>
        <v>5137.8096</v>
      </c>
      <c r="N19" s="34">
        <v>0.10736247147621554</v>
      </c>
    </row>
    <row r="20" spans="2:14" ht="24">
      <c r="B20" s="9">
        <v>13</v>
      </c>
      <c r="C20" s="7" t="s">
        <v>39</v>
      </c>
      <c r="D20" s="7" t="s">
        <v>34</v>
      </c>
      <c r="E20" s="11">
        <v>1</v>
      </c>
      <c r="F20" s="11">
        <v>2</v>
      </c>
      <c r="G20" s="14">
        <f>834.06*E20*F20</f>
        <v>1668.12</v>
      </c>
      <c r="H20" s="14">
        <f t="shared" si="3"/>
        <v>0</v>
      </c>
      <c r="I20" s="14">
        <f t="shared" si="1"/>
        <v>0</v>
      </c>
      <c r="J20" s="14">
        <f>834.06*E20*F20</f>
        <v>1668.12</v>
      </c>
      <c r="K20" s="14">
        <f>175.1526*E20*F20</f>
        <v>350.3052</v>
      </c>
      <c r="L20" s="14">
        <f>83.406*E20*F20</f>
        <v>166.812</v>
      </c>
      <c r="M20" s="14">
        <f t="shared" si="2"/>
        <v>3853.3571999999995</v>
      </c>
      <c r="N20" s="34">
        <v>0.08052185360716164</v>
      </c>
    </row>
    <row r="21" spans="2:14" ht="12">
      <c r="B21" s="9">
        <v>14</v>
      </c>
      <c r="C21" s="7" t="s">
        <v>40</v>
      </c>
      <c r="D21" s="7" t="s">
        <v>41</v>
      </c>
      <c r="E21" s="11">
        <v>1</v>
      </c>
      <c r="F21" s="11">
        <v>2</v>
      </c>
      <c r="G21" s="14">
        <f>834.06*E21*F21</f>
        <v>1668.12</v>
      </c>
      <c r="H21" s="14">
        <f t="shared" si="3"/>
        <v>0</v>
      </c>
      <c r="I21" s="14">
        <f t="shared" si="1"/>
        <v>0</v>
      </c>
      <c r="J21" s="14">
        <f>834.06*E21*F21</f>
        <v>1668.12</v>
      </c>
      <c r="K21" s="14">
        <f>175.1526*E21*F21</f>
        <v>350.3052</v>
      </c>
      <c r="L21" s="14">
        <f>83.406*E21*F21</f>
        <v>166.812</v>
      </c>
      <c r="M21" s="14">
        <f t="shared" si="2"/>
        <v>3853.3571999999995</v>
      </c>
      <c r="N21" s="34">
        <v>0.08052185360716164</v>
      </c>
    </row>
    <row r="22" spans="2:14" ht="24">
      <c r="B22" s="9">
        <v>15</v>
      </c>
      <c r="C22" s="7" t="s">
        <v>42</v>
      </c>
      <c r="D22" s="7" t="s">
        <v>34</v>
      </c>
      <c r="E22" s="11">
        <v>1</v>
      </c>
      <c r="F22" s="11">
        <v>2</v>
      </c>
      <c r="G22" s="14">
        <f>1035.384*E22*F22</f>
        <v>2070.768</v>
      </c>
      <c r="H22" s="14">
        <f t="shared" si="3"/>
        <v>0</v>
      </c>
      <c r="I22" s="14">
        <f t="shared" si="1"/>
        <v>0</v>
      </c>
      <c r="J22" s="14">
        <f>1035.384*E22*F22</f>
        <v>2070.768</v>
      </c>
      <c r="K22" s="14">
        <f>217.43064*E22*F22</f>
        <v>434.86128</v>
      </c>
      <c r="L22" s="14">
        <f>103.5384*E22*F22</f>
        <v>207.0768</v>
      </c>
      <c r="M22" s="14">
        <f t="shared" si="2"/>
        <v>4783.47408</v>
      </c>
      <c r="N22" s="34">
        <v>0.09995808320168509</v>
      </c>
    </row>
    <row r="23" spans="2:14" ht="24">
      <c r="B23" s="9">
        <v>16</v>
      </c>
      <c r="C23" s="7" t="s">
        <v>43</v>
      </c>
      <c r="D23" s="7" t="s">
        <v>34</v>
      </c>
      <c r="E23" s="11">
        <v>1</v>
      </c>
      <c r="F23" s="11">
        <v>1</v>
      </c>
      <c r="G23" s="14">
        <f>1035.384*E23*F23</f>
        <v>1035.384</v>
      </c>
      <c r="H23" s="14">
        <f t="shared" si="3"/>
        <v>0</v>
      </c>
      <c r="I23" s="14">
        <f t="shared" si="1"/>
        <v>0</v>
      </c>
      <c r="J23" s="14">
        <f>1035.384*E23*F23</f>
        <v>1035.384</v>
      </c>
      <c r="K23" s="14">
        <f>217.43064*E23*F23</f>
        <v>217.43064</v>
      </c>
      <c r="L23" s="14">
        <f>103.5384*E23*F23</f>
        <v>103.5384</v>
      </c>
      <c r="M23" s="14">
        <f t="shared" si="2"/>
        <v>2391.73704</v>
      </c>
      <c r="N23" s="34">
        <v>0.049979041600842544</v>
      </c>
    </row>
    <row r="24" spans="2:14" ht="24">
      <c r="B24" s="9">
        <v>17</v>
      </c>
      <c r="C24" s="7" t="s">
        <v>44</v>
      </c>
      <c r="D24" s="7" t="s">
        <v>34</v>
      </c>
      <c r="E24" s="11">
        <v>1</v>
      </c>
      <c r="F24" s="11">
        <v>1</v>
      </c>
      <c r="G24" s="14">
        <f>1035.384*E24*F24</f>
        <v>1035.384</v>
      </c>
      <c r="H24" s="14">
        <f t="shared" si="3"/>
        <v>0</v>
      </c>
      <c r="I24" s="14">
        <f t="shared" si="1"/>
        <v>0</v>
      </c>
      <c r="J24" s="14">
        <f>1035.384*E24*F24</f>
        <v>1035.384</v>
      </c>
      <c r="K24" s="14">
        <f>217.43064*E24*F24</f>
        <v>217.43064</v>
      </c>
      <c r="L24" s="14">
        <f>103.5384*E24*F24</f>
        <v>103.5384</v>
      </c>
      <c r="M24" s="14">
        <f t="shared" si="2"/>
        <v>2391.73704</v>
      </c>
      <c r="N24" s="34">
        <v>0.049979041600842544</v>
      </c>
    </row>
    <row r="25" spans="2:14" ht="24">
      <c r="B25" s="9">
        <v>18</v>
      </c>
      <c r="C25" s="7" t="s">
        <v>45</v>
      </c>
      <c r="D25" s="7" t="s">
        <v>46</v>
      </c>
      <c r="E25" s="11">
        <v>1</v>
      </c>
      <c r="F25" s="11">
        <v>1</v>
      </c>
      <c r="G25" s="14">
        <f>2502.18*E25*F25</f>
        <v>2502.18</v>
      </c>
      <c r="H25" s="14">
        <f t="shared" si="3"/>
        <v>0</v>
      </c>
      <c r="I25" s="14">
        <f t="shared" si="1"/>
        <v>0</v>
      </c>
      <c r="J25" s="14">
        <f>2502.18*E25*F25</f>
        <v>2502.18</v>
      </c>
      <c r="K25" s="14">
        <f>525.4578*E25*F25</f>
        <v>525.4578</v>
      </c>
      <c r="L25" s="14">
        <f>250.218*E25*F25</f>
        <v>250.218</v>
      </c>
      <c r="M25" s="14">
        <f t="shared" si="2"/>
        <v>5780.0358</v>
      </c>
      <c r="N25" s="34">
        <v>0.12078278041074249</v>
      </c>
    </row>
    <row r="26" spans="2:14" ht="12">
      <c r="B26" s="9">
        <v>19</v>
      </c>
      <c r="C26" s="7" t="s">
        <v>47</v>
      </c>
      <c r="D26" s="7" t="s">
        <v>48</v>
      </c>
      <c r="E26" s="11">
        <v>1</v>
      </c>
      <c r="F26" s="11">
        <v>1</v>
      </c>
      <c r="G26" s="14">
        <f>1232.6*E26*F26</f>
        <v>1232.6</v>
      </c>
      <c r="H26" s="14">
        <f>526.6248*E26*F26</f>
        <v>526.6248</v>
      </c>
      <c r="I26" s="14">
        <f t="shared" si="1"/>
        <v>0</v>
      </c>
      <c r="J26" s="14">
        <f>1232.6*E26*F26</f>
        <v>1232.6</v>
      </c>
      <c r="K26" s="14">
        <f>314.141604*E26*F26</f>
        <v>314.141604</v>
      </c>
      <c r="L26" s="14">
        <f>123.26*E26*F26</f>
        <v>123.26</v>
      </c>
      <c r="M26" s="14">
        <f t="shared" si="2"/>
        <v>3429.226404</v>
      </c>
      <c r="N26" s="34">
        <v>0.07165898518017001</v>
      </c>
    </row>
    <row r="27" spans="2:14" ht="12">
      <c r="B27" s="9">
        <v>20</v>
      </c>
      <c r="C27" s="7" t="s">
        <v>49</v>
      </c>
      <c r="D27" s="7" t="s">
        <v>48</v>
      </c>
      <c r="E27" s="11">
        <v>1</v>
      </c>
      <c r="F27" s="11">
        <v>1</v>
      </c>
      <c r="G27" s="14">
        <f>493.04*E27*F27</f>
        <v>493.04</v>
      </c>
      <c r="H27" s="14">
        <f>0*E27*F27</f>
        <v>0</v>
      </c>
      <c r="I27" s="14">
        <f t="shared" si="1"/>
        <v>0</v>
      </c>
      <c r="J27" s="14">
        <f>493.04*E27*F27</f>
        <v>493.04</v>
      </c>
      <c r="K27" s="14">
        <f>103.5384*E27*F27</f>
        <v>103.5384</v>
      </c>
      <c r="L27" s="14">
        <f>49.304*E27*F27</f>
        <v>49.304</v>
      </c>
      <c r="M27" s="14">
        <f t="shared" si="2"/>
        <v>1138.9224000000002</v>
      </c>
      <c r="N27" s="34">
        <v>0.023799543619448835</v>
      </c>
    </row>
    <row r="28" spans="2:14" ht="12">
      <c r="B28" s="9">
        <v>21</v>
      </c>
      <c r="C28" s="7" t="s">
        <v>50</v>
      </c>
      <c r="D28" s="7" t="s">
        <v>51</v>
      </c>
      <c r="E28" s="11">
        <v>1</v>
      </c>
      <c r="F28" s="11">
        <v>1</v>
      </c>
      <c r="G28" s="14">
        <f>70.4317324066*E28*F28</f>
        <v>70.4317324066</v>
      </c>
      <c r="H28" s="14">
        <f>0*E28*F28</f>
        <v>0</v>
      </c>
      <c r="I28" s="14">
        <f t="shared" si="1"/>
        <v>0</v>
      </c>
      <c r="J28" s="14">
        <f>70.4317324066*E28*F28</f>
        <v>70.4317324066</v>
      </c>
      <c r="K28" s="14">
        <f>14.790663805386*E28*F28</f>
        <v>14.790663805386</v>
      </c>
      <c r="L28" s="14">
        <f>7.04317324066*E28*F28</f>
        <v>7.04317324066</v>
      </c>
      <c r="M28" s="14">
        <f t="shared" si="2"/>
        <v>162.697301859246</v>
      </c>
      <c r="N28" s="34">
        <v>0.0033998115520124626</v>
      </c>
    </row>
    <row r="29" spans="2:14" ht="36">
      <c r="B29" s="9">
        <v>22</v>
      </c>
      <c r="C29" s="7" t="s">
        <v>52</v>
      </c>
      <c r="D29" s="7" t="s">
        <v>53</v>
      </c>
      <c r="E29" s="11">
        <v>1</v>
      </c>
      <c r="F29" s="11">
        <v>12</v>
      </c>
      <c r="G29" s="14">
        <f>27.802*E29*F29</f>
        <v>333.624</v>
      </c>
      <c r="H29" s="14">
        <f>0*E29*F29</f>
        <v>0</v>
      </c>
      <c r="I29" s="14">
        <f t="shared" si="1"/>
        <v>0</v>
      </c>
      <c r="J29" s="14">
        <f>27.802*E29*F29</f>
        <v>333.624</v>
      </c>
      <c r="K29" s="14">
        <f>5.83842*E29*F29</f>
        <v>70.06104</v>
      </c>
      <c r="L29" s="14">
        <f>2.7802*E29*F29</f>
        <v>33.362399999999994</v>
      </c>
      <c r="M29" s="14">
        <f t="shared" si="2"/>
        <v>770.6714400000001</v>
      </c>
      <c r="N29" s="34">
        <v>0.016104370721432334</v>
      </c>
    </row>
    <row r="30" spans="2:14" ht="36">
      <c r="B30" s="9">
        <v>23</v>
      </c>
      <c r="C30" s="7" t="s">
        <v>54</v>
      </c>
      <c r="D30" s="7" t="s">
        <v>55</v>
      </c>
      <c r="E30" s="11">
        <v>1</v>
      </c>
      <c r="F30" s="11">
        <v>2</v>
      </c>
      <c r="G30" s="14">
        <f>147.3506*E30*F30</f>
        <v>294.7012</v>
      </c>
      <c r="H30" s="14">
        <f>0*E30*F30</f>
        <v>0</v>
      </c>
      <c r="I30" s="14">
        <f t="shared" si="1"/>
        <v>0</v>
      </c>
      <c r="J30" s="14">
        <f>147.3506*E30*F30</f>
        <v>294.7012</v>
      </c>
      <c r="K30" s="14">
        <f>30.943626*E30*F30</f>
        <v>61.887252</v>
      </c>
      <c r="L30" s="14">
        <f>14.73506*E30*F30</f>
        <v>29.47012</v>
      </c>
      <c r="M30" s="14">
        <f t="shared" si="2"/>
        <v>680.7597719999999</v>
      </c>
      <c r="N30" s="34">
        <v>0.014225527470598557</v>
      </c>
    </row>
    <row r="31" spans="2:14" ht="24">
      <c r="B31" s="9">
        <v>24</v>
      </c>
      <c r="C31" s="7" t="s">
        <v>56</v>
      </c>
      <c r="D31" s="7" t="s">
        <v>53</v>
      </c>
      <c r="E31" s="11">
        <v>1</v>
      </c>
      <c r="F31" s="11">
        <v>1</v>
      </c>
      <c r="G31" s="14">
        <f>200.1744*E31*F31</f>
        <v>200.1744</v>
      </c>
      <c r="H31" s="14">
        <f>0*E31*F31</f>
        <v>0</v>
      </c>
      <c r="I31" s="14">
        <f t="shared" si="1"/>
        <v>0</v>
      </c>
      <c r="J31" s="14">
        <f>200.1744*E31*F31</f>
        <v>200.1744</v>
      </c>
      <c r="K31" s="14">
        <f>42.036624*E31*F31</f>
        <v>42.036624</v>
      </c>
      <c r="L31" s="14">
        <f>20.01744*E31*F31</f>
        <v>20.01744</v>
      </c>
      <c r="M31" s="14">
        <f t="shared" si="2"/>
        <v>462.402864</v>
      </c>
      <c r="N31" s="34">
        <v>0.0096626224328594</v>
      </c>
    </row>
    <row r="32" spans="2:14" ht="19.5" customHeight="1" thickBot="1">
      <c r="B32" s="39" t="s">
        <v>19</v>
      </c>
      <c r="C32" s="40"/>
      <c r="D32" s="40"/>
      <c r="E32" s="40"/>
      <c r="F32" s="40"/>
      <c r="G32" s="15">
        <f aca="true" t="shared" si="4" ref="G32:M32">SUM(G10:G31)</f>
        <v>44022.1153006464</v>
      </c>
      <c r="H32" s="15">
        <f t="shared" si="4"/>
        <v>256132.8684579451</v>
      </c>
      <c r="I32" s="15">
        <f t="shared" si="4"/>
        <v>0</v>
      </c>
      <c r="J32" s="15">
        <f t="shared" si="4"/>
        <v>44022.1153006464</v>
      </c>
      <c r="K32" s="15">
        <f t="shared" si="4"/>
        <v>36138.59540121997</v>
      </c>
      <c r="L32" s="15">
        <f t="shared" si="4"/>
        <v>4402.211530064638</v>
      </c>
      <c r="M32" s="15">
        <f t="shared" si="4"/>
        <v>384717.9059905227</v>
      </c>
      <c r="N32" s="35">
        <v>8.039275182228794</v>
      </c>
    </row>
    <row r="33" spans="2:14" ht="21.75" customHeight="1" thickBot="1" thickTop="1">
      <c r="B33" s="41" t="s">
        <v>57</v>
      </c>
      <c r="C33" s="42"/>
      <c r="D33" s="42"/>
      <c r="E33" s="42"/>
      <c r="F33" s="42"/>
      <c r="G33" s="43"/>
      <c r="H33" s="43"/>
      <c r="I33" s="43"/>
      <c r="J33" s="43"/>
      <c r="K33" s="43"/>
      <c r="L33" s="43"/>
      <c r="M33" s="43"/>
      <c r="N33" s="44"/>
    </row>
    <row r="34" spans="2:14" ht="36.75" thickTop="1">
      <c r="B34" s="8">
        <v>25</v>
      </c>
      <c r="C34" s="6" t="s">
        <v>58</v>
      </c>
      <c r="D34" s="6" t="s">
        <v>59</v>
      </c>
      <c r="E34" s="10">
        <v>1</v>
      </c>
      <c r="F34" s="10">
        <v>104</v>
      </c>
      <c r="G34" s="13">
        <f>221.58786*E34*F34</f>
        <v>23045.137440000002</v>
      </c>
      <c r="H34" s="13">
        <f>0.688554*E34*F34</f>
        <v>71.609616</v>
      </c>
      <c r="I34" s="13">
        <f aca="true" t="shared" si="5" ref="I34:I54">0*E34*F34</f>
        <v>0</v>
      </c>
      <c r="J34" s="13">
        <f>221.58786*E34*F34</f>
        <v>23045.137440000002</v>
      </c>
      <c r="K34" s="13">
        <f>46.60574877*E34*F34</f>
        <v>4846.99787208</v>
      </c>
      <c r="L34" s="13">
        <f>22.158786*E34*F34</f>
        <v>2304.513744</v>
      </c>
      <c r="M34" s="13">
        <f aca="true" t="shared" si="6" ref="M34:M57">SUM(G34:L34)</f>
        <v>53313.39611208001</v>
      </c>
      <c r="N34" s="33">
        <v>1.1140658013841873</v>
      </c>
    </row>
    <row r="35" spans="2:14" ht="36">
      <c r="B35" s="9">
        <v>26</v>
      </c>
      <c r="C35" s="7" t="s">
        <v>60</v>
      </c>
      <c r="D35" s="7" t="s">
        <v>61</v>
      </c>
      <c r="E35" s="11">
        <v>1</v>
      </c>
      <c r="F35" s="11">
        <v>104</v>
      </c>
      <c r="G35" s="14">
        <f>169.065*E35*F35</f>
        <v>17582.76</v>
      </c>
      <c r="H35" s="14">
        <f>0.5213232*E35*F35</f>
        <v>54.2176128</v>
      </c>
      <c r="I35" s="14">
        <f t="shared" si="5"/>
        <v>0</v>
      </c>
      <c r="J35" s="14">
        <f>169.065*E35*F35</f>
        <v>17582.76</v>
      </c>
      <c r="K35" s="14">
        <f>35.558388936*E35*F35</f>
        <v>3698.0724493440002</v>
      </c>
      <c r="L35" s="14">
        <f>16.9065*E35*F35</f>
        <v>1758.276</v>
      </c>
      <c r="M35" s="14">
        <f t="shared" si="6"/>
        <v>40676.08606214399</v>
      </c>
      <c r="N35" s="34">
        <v>0.8499896784051755</v>
      </c>
    </row>
    <row r="36" spans="2:14" ht="24">
      <c r="B36" s="9">
        <v>27</v>
      </c>
      <c r="C36" s="7" t="s">
        <v>62</v>
      </c>
      <c r="D36" s="7" t="s">
        <v>63</v>
      </c>
      <c r="E36" s="11">
        <v>1</v>
      </c>
      <c r="F36" s="11">
        <v>12</v>
      </c>
      <c r="G36" s="14">
        <f>510.9520007514*E36*F36</f>
        <v>6131.4240090168005</v>
      </c>
      <c r="H36" s="14">
        <f>43.90997693784*E36*F36</f>
        <v>526.91972325408</v>
      </c>
      <c r="I36" s="14">
        <f t="shared" si="5"/>
        <v>0</v>
      </c>
      <c r="J36" s="14">
        <f>510.9520007514*E36*F36</f>
        <v>6131.4240090168005</v>
      </c>
      <c r="K36" s="14">
        <f>111.91046773627*E36*F36</f>
        <v>1342.92561283524</v>
      </c>
      <c r="L36" s="14">
        <f>51.09520007514*E36*F36</f>
        <v>613.14240090168</v>
      </c>
      <c r="M36" s="14">
        <f t="shared" si="6"/>
        <v>14745.8357550246</v>
      </c>
      <c r="N36" s="34">
        <v>0.30813702606686477</v>
      </c>
    </row>
    <row r="37" spans="2:14" ht="24">
      <c r="B37" s="9">
        <v>28</v>
      </c>
      <c r="C37" s="7" t="s">
        <v>64</v>
      </c>
      <c r="D37" s="7" t="s">
        <v>65</v>
      </c>
      <c r="E37" s="11">
        <v>1</v>
      </c>
      <c r="F37" s="11">
        <v>12</v>
      </c>
      <c r="G37" s="14">
        <f>514.7089992486*E37*F37</f>
        <v>6176.5079909832</v>
      </c>
      <c r="H37" s="14">
        <f>28.417979664*E37*F37</f>
        <v>341.015755968</v>
      </c>
      <c r="I37" s="14">
        <f t="shared" si="5"/>
        <v>0</v>
      </c>
      <c r="J37" s="14">
        <f>514.7089992486*E37*F37</f>
        <v>6176.5079909832</v>
      </c>
      <c r="K37" s="14">
        <f>111.07277770693*E37*F37</f>
        <v>1332.87333248316</v>
      </c>
      <c r="L37" s="14">
        <f>51.47089992486*E37*F37</f>
        <v>617.65079909832</v>
      </c>
      <c r="M37" s="14">
        <f t="shared" si="6"/>
        <v>14644.55586951588</v>
      </c>
      <c r="N37" s="34">
        <v>0.30602062634293486</v>
      </c>
    </row>
    <row r="38" spans="2:14" ht="24">
      <c r="B38" s="9">
        <v>29</v>
      </c>
      <c r="C38" s="7" t="s">
        <v>66</v>
      </c>
      <c r="D38" s="7" t="s">
        <v>67</v>
      </c>
      <c r="E38" s="11">
        <v>1</v>
      </c>
      <c r="F38" s="11">
        <v>6</v>
      </c>
      <c r="G38" s="14">
        <f>492.1669992486*E38*F38</f>
        <v>2953.0019954916</v>
      </c>
      <c r="H38" s="14">
        <f>28.4040631488*E38*F38</f>
        <v>170.4243788928</v>
      </c>
      <c r="I38" s="14">
        <f t="shared" si="5"/>
        <v>0</v>
      </c>
      <c r="J38" s="14">
        <f>492.1669992486*E38*F38</f>
        <v>2953.0019954916</v>
      </c>
      <c r="K38" s="14">
        <f>106.33749647283*E38*F38</f>
        <v>638.0249788369799</v>
      </c>
      <c r="L38" s="14">
        <f>49.21669992486*E38*F38</f>
        <v>295.30019954916</v>
      </c>
      <c r="M38" s="14">
        <f t="shared" si="6"/>
        <v>7009.7535482621415</v>
      </c>
      <c r="N38" s="34">
        <v>0.1464796331457271</v>
      </c>
    </row>
    <row r="39" spans="2:14" ht="24">
      <c r="B39" s="9">
        <v>30</v>
      </c>
      <c r="C39" s="7" t="s">
        <v>68</v>
      </c>
      <c r="D39" s="7" t="s">
        <v>69</v>
      </c>
      <c r="E39" s="11">
        <v>1</v>
      </c>
      <c r="F39" s="11">
        <v>2</v>
      </c>
      <c r="G39" s="14">
        <f>755.157*E39*F39</f>
        <v>1510.314</v>
      </c>
      <c r="H39" s="14">
        <f>42.98284795584*E39*F39</f>
        <v>85.96569591168</v>
      </c>
      <c r="I39" s="14">
        <f t="shared" si="5"/>
        <v>0</v>
      </c>
      <c r="J39" s="14">
        <f>755.157*E39*F39</f>
        <v>1510.314</v>
      </c>
      <c r="K39" s="14">
        <f>163.09616903536*E39*F39</f>
        <v>326.19233807072</v>
      </c>
      <c r="L39" s="14">
        <f>75.5157*E39*F39</f>
        <v>151.0314</v>
      </c>
      <c r="M39" s="14">
        <f t="shared" si="6"/>
        <v>3583.8174339824</v>
      </c>
      <c r="N39" s="34">
        <v>0.07488940365402007</v>
      </c>
    </row>
    <row r="40" spans="2:14" ht="24">
      <c r="B40" s="9">
        <v>31</v>
      </c>
      <c r="C40" s="7" t="s">
        <v>70</v>
      </c>
      <c r="D40" s="7" t="s">
        <v>71</v>
      </c>
      <c r="E40" s="11">
        <v>1</v>
      </c>
      <c r="F40" s="11">
        <v>2</v>
      </c>
      <c r="G40" s="14">
        <f>241.1994*E40*F40</f>
        <v>482.3988</v>
      </c>
      <c r="H40" s="14">
        <f>84.477*E40*F40</f>
        <v>168.954</v>
      </c>
      <c r="I40" s="14">
        <f t="shared" si="5"/>
        <v>0</v>
      </c>
      <c r="J40" s="14">
        <f>241.1994*E40*F40</f>
        <v>482.3988</v>
      </c>
      <c r="K40" s="14">
        <f>59.521959*E40*F40</f>
        <v>119.043918</v>
      </c>
      <c r="L40" s="14">
        <f>24.11994*E40*F40</f>
        <v>48.23988</v>
      </c>
      <c r="M40" s="14">
        <f t="shared" si="6"/>
        <v>1301.0353980000002</v>
      </c>
      <c r="N40" s="34">
        <v>0.027187145239349036</v>
      </c>
    </row>
    <row r="41" spans="2:14" ht="60">
      <c r="B41" s="9">
        <v>32</v>
      </c>
      <c r="C41" s="7" t="s">
        <v>72</v>
      </c>
      <c r="D41" s="7" t="s">
        <v>73</v>
      </c>
      <c r="E41" s="11">
        <v>1</v>
      </c>
      <c r="F41" s="11">
        <v>2</v>
      </c>
      <c r="G41" s="14">
        <f>304.317*E41*F41</f>
        <v>608.634</v>
      </c>
      <c r="H41" s="14">
        <f>84.477*E41*F41</f>
        <v>168.954</v>
      </c>
      <c r="I41" s="14">
        <f t="shared" si="5"/>
        <v>0</v>
      </c>
      <c r="J41" s="14">
        <f>304.317*E41*F41</f>
        <v>608.634</v>
      </c>
      <c r="K41" s="14">
        <f>72.776655*E41*F41</f>
        <v>145.55331</v>
      </c>
      <c r="L41" s="14">
        <f>30.4317*E41*F41</f>
        <v>60.8634</v>
      </c>
      <c r="M41" s="14">
        <f t="shared" si="6"/>
        <v>1592.63871</v>
      </c>
      <c r="N41" s="34">
        <v>0.033280647082424335</v>
      </c>
    </row>
    <row r="42" spans="2:14" ht="24">
      <c r="B42" s="9">
        <v>33</v>
      </c>
      <c r="C42" s="7" t="s">
        <v>74</v>
      </c>
      <c r="D42" s="7" t="s">
        <v>75</v>
      </c>
      <c r="E42" s="11">
        <v>1</v>
      </c>
      <c r="F42" s="11">
        <v>12</v>
      </c>
      <c r="G42" s="14">
        <f>410.2644*E42*F42</f>
        <v>4923.1728</v>
      </c>
      <c r="H42" s="14">
        <f>84.477*E42*F42</f>
        <v>1013.724</v>
      </c>
      <c r="I42" s="14">
        <f t="shared" si="5"/>
        <v>0</v>
      </c>
      <c r="J42" s="14">
        <f>410.2644*E42*F42</f>
        <v>4923.1728</v>
      </c>
      <c r="K42" s="14">
        <f>95.025609*E42*F42</f>
        <v>1140.307308</v>
      </c>
      <c r="L42" s="14">
        <f>41.02644*E42*F42</f>
        <v>492.31728</v>
      </c>
      <c r="M42" s="14">
        <f t="shared" si="6"/>
        <v>12492.694188</v>
      </c>
      <c r="N42" s="34">
        <v>0.26105415105694724</v>
      </c>
    </row>
    <row r="43" spans="2:14" ht="12">
      <c r="B43" s="9">
        <v>34</v>
      </c>
      <c r="C43" s="7" t="s">
        <v>76</v>
      </c>
      <c r="D43" s="7" t="s">
        <v>77</v>
      </c>
      <c r="E43" s="11">
        <v>1</v>
      </c>
      <c r="F43" s="11">
        <v>2</v>
      </c>
      <c r="G43" s="14">
        <f>341.871972*E43*F43</f>
        <v>683.743944</v>
      </c>
      <c r="H43" s="14">
        <f>84.477*E43*F43</f>
        <v>168.954</v>
      </c>
      <c r="I43" s="14">
        <f t="shared" si="5"/>
        <v>0</v>
      </c>
      <c r="J43" s="14">
        <f>341.871972*E43*F43</f>
        <v>683.743944</v>
      </c>
      <c r="K43" s="14">
        <f>80.66319912*E43*F43</f>
        <v>161.32639824</v>
      </c>
      <c r="L43" s="14">
        <f>34.1871972*E43*F43</f>
        <v>68.3743944</v>
      </c>
      <c r="M43" s="14">
        <f t="shared" si="6"/>
        <v>1766.1426806400002</v>
      </c>
      <c r="N43" s="34">
        <v>0.03690628067905414</v>
      </c>
    </row>
    <row r="44" spans="2:14" ht="12">
      <c r="B44" s="9">
        <v>35</v>
      </c>
      <c r="C44" s="7" t="s">
        <v>78</v>
      </c>
      <c r="D44" s="7" t="s">
        <v>79</v>
      </c>
      <c r="E44" s="11">
        <v>1</v>
      </c>
      <c r="F44" s="11">
        <v>2</v>
      </c>
      <c r="G44" s="14">
        <f>236.691*E44*F44</f>
        <v>473.382</v>
      </c>
      <c r="H44" s="14">
        <f>4.7466*E44*F44</f>
        <v>9.4932</v>
      </c>
      <c r="I44" s="14">
        <f t="shared" si="5"/>
        <v>0</v>
      </c>
      <c r="J44" s="14">
        <f>236.691*E44*F44</f>
        <v>473.382</v>
      </c>
      <c r="K44" s="14">
        <f>50.203503*E44*F44</f>
        <v>100.407006</v>
      </c>
      <c r="L44" s="14">
        <f>23.6691*E44*F44</f>
        <v>47.3382</v>
      </c>
      <c r="M44" s="14">
        <f t="shared" si="6"/>
        <v>1104.0024059999998</v>
      </c>
      <c r="N44" s="34">
        <v>0.023069836380049644</v>
      </c>
    </row>
    <row r="45" spans="2:14" ht="24">
      <c r="B45" s="9">
        <v>36</v>
      </c>
      <c r="C45" s="7" t="s">
        <v>80</v>
      </c>
      <c r="D45" s="7" t="s">
        <v>81</v>
      </c>
      <c r="E45" s="11">
        <v>1</v>
      </c>
      <c r="F45" s="11">
        <v>1</v>
      </c>
      <c r="G45" s="14">
        <f>276.3607*E45*F45</f>
        <v>276.3607</v>
      </c>
      <c r="H45" s="14">
        <f>5.2909824*E45*F45</f>
        <v>5.2909824</v>
      </c>
      <c r="I45" s="14">
        <f t="shared" si="5"/>
        <v>0</v>
      </c>
      <c r="J45" s="14">
        <f>276.3607*E45*F45</f>
        <v>276.3607</v>
      </c>
      <c r="K45" s="14">
        <f>58.591300152*E45*F45</f>
        <v>58.591300152</v>
      </c>
      <c r="L45" s="14">
        <f>27.63607*E45*F45</f>
        <v>27.63607</v>
      </c>
      <c r="M45" s="14">
        <f t="shared" si="6"/>
        <v>644.239752552</v>
      </c>
      <c r="N45" s="34">
        <v>0.013462385226811105</v>
      </c>
    </row>
    <row r="46" spans="2:14" ht="12">
      <c r="B46" s="9">
        <v>37</v>
      </c>
      <c r="C46" s="7" t="s">
        <v>82</v>
      </c>
      <c r="D46" s="7" t="s">
        <v>83</v>
      </c>
      <c r="E46" s="11">
        <v>1</v>
      </c>
      <c r="F46" s="11">
        <v>12</v>
      </c>
      <c r="G46" s="14">
        <f>450.9043*E46*F46</f>
        <v>5410.8516</v>
      </c>
      <c r="H46" s="14">
        <f>8.3974848*E46*F46</f>
        <v>100.76981760000001</v>
      </c>
      <c r="I46" s="14">
        <f t="shared" si="5"/>
        <v>0</v>
      </c>
      <c r="J46" s="14">
        <f>450.9043*E46*F46</f>
        <v>5410.8516</v>
      </c>
      <c r="K46" s="14">
        <f>95.571638904*E46*F46</f>
        <v>1146.859666848</v>
      </c>
      <c r="L46" s="14">
        <f>45.09043*E46*F46</f>
        <v>541.08516</v>
      </c>
      <c r="M46" s="14">
        <f t="shared" si="6"/>
        <v>12610.417844448002</v>
      </c>
      <c r="N46" s="34">
        <v>0.26351416878657946</v>
      </c>
    </row>
    <row r="47" spans="2:14" ht="24">
      <c r="B47" s="9">
        <v>38</v>
      </c>
      <c r="C47" s="7" t="s">
        <v>84</v>
      </c>
      <c r="D47" s="7" t="s">
        <v>85</v>
      </c>
      <c r="E47" s="11">
        <v>1</v>
      </c>
      <c r="F47" s="11">
        <v>1</v>
      </c>
      <c r="G47" s="14">
        <f>698.802*E47*F47</f>
        <v>698.802</v>
      </c>
      <c r="H47" s="14">
        <f>981.97662588*E47*F47</f>
        <v>981.97662588</v>
      </c>
      <c r="I47" s="14">
        <f t="shared" si="5"/>
        <v>0</v>
      </c>
      <c r="J47" s="14">
        <f>698.802*E47*F47</f>
        <v>698.802</v>
      </c>
      <c r="K47" s="14">
        <f>249.8559657174*E47*F47</f>
        <v>249.8559657174</v>
      </c>
      <c r="L47" s="14">
        <f>69.8802*E47*F47</f>
        <v>69.8802</v>
      </c>
      <c r="M47" s="14">
        <f t="shared" si="6"/>
        <v>2699.3167915974004</v>
      </c>
      <c r="N47" s="34">
        <v>0.05640639583902556</v>
      </c>
    </row>
    <row r="48" spans="2:14" ht="36">
      <c r="B48" s="9">
        <v>39</v>
      </c>
      <c r="C48" s="7" t="s">
        <v>86</v>
      </c>
      <c r="D48" s="7" t="s">
        <v>87</v>
      </c>
      <c r="E48" s="11">
        <v>1</v>
      </c>
      <c r="F48" s="11">
        <v>3</v>
      </c>
      <c r="G48" s="14">
        <f>4847.7407*E48*F48</f>
        <v>14543.2221</v>
      </c>
      <c r="H48" s="14">
        <f>112.65816*E48*F48</f>
        <v>337.97447999999997</v>
      </c>
      <c r="I48" s="14">
        <f t="shared" si="5"/>
        <v>0</v>
      </c>
      <c r="J48" s="14">
        <f>4847.7407*E48*F48</f>
        <v>14543.2221</v>
      </c>
      <c r="K48" s="14">
        <f>1029.8546538*E48*F48</f>
        <v>3089.5639614</v>
      </c>
      <c r="L48" s="14">
        <f>484.77407*E48*F48</f>
        <v>1454.32221</v>
      </c>
      <c r="M48" s="14">
        <f t="shared" si="6"/>
        <v>33968.304851400004</v>
      </c>
      <c r="N48" s="34">
        <v>0.7098202239148425</v>
      </c>
    </row>
    <row r="49" spans="2:14" ht="12">
      <c r="B49" s="9">
        <v>40</v>
      </c>
      <c r="C49" s="7" t="s">
        <v>88</v>
      </c>
      <c r="D49" s="7" t="s">
        <v>89</v>
      </c>
      <c r="E49" s="11">
        <v>1</v>
      </c>
      <c r="F49" s="11">
        <v>2</v>
      </c>
      <c r="G49" s="14">
        <f>21.19458*E49*F49</f>
        <v>42.38916</v>
      </c>
      <c r="H49" s="14">
        <f>0*E49*F49</f>
        <v>0</v>
      </c>
      <c r="I49" s="14">
        <f t="shared" si="5"/>
        <v>0</v>
      </c>
      <c r="J49" s="14">
        <f>21.19458*E49*F49</f>
        <v>42.38916</v>
      </c>
      <c r="K49" s="14">
        <f>4.4508618*E49*F49</f>
        <v>8.9017236</v>
      </c>
      <c r="L49" s="14">
        <f>2.119458*E49*F49</f>
        <v>4.238916</v>
      </c>
      <c r="M49" s="14">
        <f t="shared" si="6"/>
        <v>97.9189596</v>
      </c>
      <c r="N49" s="34">
        <v>0.0020461679831490255</v>
      </c>
    </row>
    <row r="50" spans="2:14" ht="24">
      <c r="B50" s="9">
        <v>41</v>
      </c>
      <c r="C50" s="7" t="s">
        <v>90</v>
      </c>
      <c r="D50" s="7" t="s">
        <v>91</v>
      </c>
      <c r="E50" s="11">
        <v>1</v>
      </c>
      <c r="F50" s="11">
        <v>2</v>
      </c>
      <c r="G50" s="14">
        <f>561.033*E50*F50</f>
        <v>1122.066</v>
      </c>
      <c r="H50" s="14">
        <f>0*E50*F50</f>
        <v>0</v>
      </c>
      <c r="I50" s="14">
        <f t="shared" si="5"/>
        <v>0</v>
      </c>
      <c r="J50" s="14">
        <f>561.033*E50*F50</f>
        <v>1122.066</v>
      </c>
      <c r="K50" s="14">
        <f>117.81693*E50*F50</f>
        <v>235.63386</v>
      </c>
      <c r="L50" s="14">
        <f>56.1033*E50*F50</f>
        <v>112.2066</v>
      </c>
      <c r="M50" s="14">
        <f t="shared" si="6"/>
        <v>2591.97246</v>
      </c>
      <c r="N50" s="34">
        <v>0.054163270142180094</v>
      </c>
    </row>
    <row r="51" spans="2:14" ht="12">
      <c r="B51" s="9">
        <v>42</v>
      </c>
      <c r="C51" s="7" t="s">
        <v>92</v>
      </c>
      <c r="D51" s="7" t="s">
        <v>93</v>
      </c>
      <c r="E51" s="11">
        <v>1</v>
      </c>
      <c r="F51" s="11">
        <v>2</v>
      </c>
      <c r="G51" s="14">
        <f>249.348*E51*F51</f>
        <v>498.696</v>
      </c>
      <c r="H51" s="14">
        <f>0*E51*F51</f>
        <v>0</v>
      </c>
      <c r="I51" s="14">
        <f t="shared" si="5"/>
        <v>0</v>
      </c>
      <c r="J51" s="14">
        <f>249.348*E51*F51</f>
        <v>498.696</v>
      </c>
      <c r="K51" s="14">
        <f>52.36308*E51*F51</f>
        <v>104.72616</v>
      </c>
      <c r="L51" s="14">
        <f>24.9348*E51*F51</f>
        <v>49.8696</v>
      </c>
      <c r="M51" s="14">
        <f t="shared" si="6"/>
        <v>1151.98776</v>
      </c>
      <c r="N51" s="34">
        <v>0.024072564507635594</v>
      </c>
    </row>
    <row r="52" spans="2:14" ht="24">
      <c r="B52" s="9">
        <v>43</v>
      </c>
      <c r="C52" s="7" t="s">
        <v>94</v>
      </c>
      <c r="D52" s="7" t="s">
        <v>95</v>
      </c>
      <c r="E52" s="11">
        <v>1</v>
      </c>
      <c r="F52" s="11">
        <v>12</v>
      </c>
      <c r="G52" s="14">
        <f>286.7502*E52*F52</f>
        <v>3441.0024000000003</v>
      </c>
      <c r="H52" s="14">
        <f>1.1274672*E52*F52</f>
        <v>13.529606399999999</v>
      </c>
      <c r="I52" s="14">
        <f t="shared" si="5"/>
        <v>0</v>
      </c>
      <c r="J52" s="14">
        <f>286.7502*E52*F52</f>
        <v>3441.0024000000003</v>
      </c>
      <c r="K52" s="14">
        <f>60.335926056*E52*F52</f>
        <v>724.031112672</v>
      </c>
      <c r="L52" s="14">
        <f>28.67502*E52*F52</f>
        <v>344.10024</v>
      </c>
      <c r="M52" s="14">
        <f t="shared" si="6"/>
        <v>7963.665759072</v>
      </c>
      <c r="N52" s="34">
        <v>0.16641310295042502</v>
      </c>
    </row>
    <row r="53" spans="2:14" ht="24">
      <c r="B53" s="9">
        <v>44</v>
      </c>
      <c r="C53" s="7" t="s">
        <v>96</v>
      </c>
      <c r="D53" s="7" t="s">
        <v>95</v>
      </c>
      <c r="E53" s="11">
        <v>1</v>
      </c>
      <c r="F53" s="11">
        <v>12</v>
      </c>
      <c r="G53" s="14">
        <f>52.98645*E53*F53</f>
        <v>635.8374</v>
      </c>
      <c r="H53" s="14">
        <f>0.52909824*E53*F53</f>
        <v>6.34917888</v>
      </c>
      <c r="I53" s="14">
        <f t="shared" si="5"/>
        <v>0</v>
      </c>
      <c r="J53" s="14">
        <f>52.98645*E53*F53</f>
        <v>635.8374</v>
      </c>
      <c r="K53" s="14">
        <f>11.1827098152*E53*F53</f>
        <v>134.19251778240002</v>
      </c>
      <c r="L53" s="14">
        <f>5.298645*E53*F53</f>
        <v>63.58373999999999</v>
      </c>
      <c r="M53" s="14">
        <f t="shared" si="6"/>
        <v>1475.8002366624</v>
      </c>
      <c r="N53" s="34">
        <v>0.03083912662183104</v>
      </c>
    </row>
    <row r="54" spans="2:14" ht="12">
      <c r="B54" s="9">
        <v>45</v>
      </c>
      <c r="C54" s="7" t="s">
        <v>97</v>
      </c>
      <c r="D54" s="7" t="s">
        <v>95</v>
      </c>
      <c r="E54" s="11">
        <v>1</v>
      </c>
      <c r="F54" s="11">
        <v>12</v>
      </c>
      <c r="G54" s="14">
        <f>526.33207*E54*F54</f>
        <v>6315.984840000001</v>
      </c>
      <c r="H54" s="14">
        <f>37.39884*E54*F54</f>
        <v>448.78607999999997</v>
      </c>
      <c r="I54" s="14">
        <f t="shared" si="5"/>
        <v>0</v>
      </c>
      <c r="J54" s="14">
        <f>526.33207*E54*F54</f>
        <v>6315.984840000001</v>
      </c>
      <c r="K54" s="14">
        <f>114.4566129*E54*F54</f>
        <v>1373.4793548</v>
      </c>
      <c r="L54" s="14">
        <f>52.633207*E54*F54</f>
        <v>631.598484</v>
      </c>
      <c r="M54" s="14">
        <f t="shared" si="6"/>
        <v>15085.833598800002</v>
      </c>
      <c r="N54" s="34">
        <v>0.31524180643947947</v>
      </c>
    </row>
    <row r="55" spans="2:14" ht="12">
      <c r="B55" s="9">
        <v>46</v>
      </c>
      <c r="C55" s="7" t="s">
        <v>98</v>
      </c>
      <c r="D55" s="7" t="s">
        <v>99</v>
      </c>
      <c r="E55" s="11">
        <v>1</v>
      </c>
      <c r="F55" s="11">
        <v>1</v>
      </c>
      <c r="G55" s="14">
        <f>24676.652*E55*F55</f>
        <v>24676.652</v>
      </c>
      <c r="H55" s="14">
        <f>46494.3816*E55*F55</f>
        <v>46494.3816</v>
      </c>
      <c r="I55" s="14">
        <f>4212.8067*E55*F55</f>
        <v>4212.8067</v>
      </c>
      <c r="J55" s="14">
        <f>26680.8263*E55*F55</f>
        <v>26680.8263</v>
      </c>
      <c r="K55" s="14">
        <f>10716.789993*E55*F55</f>
        <v>10716.789993</v>
      </c>
      <c r="L55" s="14">
        <f>2668.08263*E55*F55</f>
        <v>2668.08263</v>
      </c>
      <c r="M55" s="14">
        <f t="shared" si="6"/>
        <v>115449.539223</v>
      </c>
      <c r="N55" s="34">
        <v>2.412496535833396</v>
      </c>
    </row>
    <row r="56" spans="2:14" ht="36">
      <c r="B56" s="9">
        <v>47</v>
      </c>
      <c r="C56" s="7" t="s">
        <v>100</v>
      </c>
      <c r="D56" s="7" t="s">
        <v>101</v>
      </c>
      <c r="E56" s="11">
        <v>1</v>
      </c>
      <c r="F56" s="11">
        <v>1</v>
      </c>
      <c r="G56" s="14">
        <f>357.454*E56*F56</f>
        <v>357.454</v>
      </c>
      <c r="H56" s="14">
        <f>368.103696*E56*F56</f>
        <v>368.103696</v>
      </c>
      <c r="I56" s="14">
        <f>0*E56*F56</f>
        <v>0</v>
      </c>
      <c r="J56" s="14">
        <f>357.454*E56*F56</f>
        <v>357.454</v>
      </c>
      <c r="K56" s="14">
        <f>113.71622808*E56*F56</f>
        <v>113.71622808</v>
      </c>
      <c r="L56" s="14">
        <f>35.7454*E56*F56</f>
        <v>35.7454</v>
      </c>
      <c r="M56" s="14">
        <f t="shared" si="6"/>
        <v>1232.47332408</v>
      </c>
      <c r="N56" s="34">
        <v>0.025754434750119112</v>
      </c>
    </row>
    <row r="57" spans="2:14" ht="36">
      <c r="B57" s="9">
        <v>48</v>
      </c>
      <c r="C57" s="7" t="s">
        <v>102</v>
      </c>
      <c r="D57" s="7" t="s">
        <v>101</v>
      </c>
      <c r="E57" s="11">
        <v>1</v>
      </c>
      <c r="F57" s="11">
        <v>2</v>
      </c>
      <c r="G57" s="14">
        <f>983.6148*E57*F57</f>
        <v>1967.2296</v>
      </c>
      <c r="H57" s="14">
        <f>136.70568*E57*F57</f>
        <v>273.41136</v>
      </c>
      <c r="I57" s="14">
        <f>0*E57*F57</f>
        <v>0</v>
      </c>
      <c r="J57" s="14">
        <f>983.6148*E57*F57</f>
        <v>1967.2296</v>
      </c>
      <c r="K57" s="14">
        <f>220.9132044*E57*F57</f>
        <v>441.8264088</v>
      </c>
      <c r="L57" s="14">
        <f>98.36148*E57*F57</f>
        <v>196.72296</v>
      </c>
      <c r="M57" s="14">
        <f t="shared" si="6"/>
        <v>4846.419928799999</v>
      </c>
      <c r="N57" s="34">
        <v>0.10127343398781312</v>
      </c>
    </row>
    <row r="58" spans="2:14" ht="13.5" thickBot="1">
      <c r="B58" s="39" t="s">
        <v>19</v>
      </c>
      <c r="C58" s="40"/>
      <c r="D58" s="40"/>
      <c r="E58" s="40"/>
      <c r="F58" s="40"/>
      <c r="G58" s="15">
        <f aca="true" t="shared" si="7" ref="G58:M58">SUM(G34:G57)</f>
        <v>124557.0247794916</v>
      </c>
      <c r="H58" s="15">
        <f t="shared" si="7"/>
        <v>51810.805409986555</v>
      </c>
      <c r="I58" s="15">
        <f t="shared" si="7"/>
        <v>4212.8067</v>
      </c>
      <c r="J58" s="15">
        <f t="shared" si="7"/>
        <v>126561.1990794916</v>
      </c>
      <c r="K58" s="15">
        <f t="shared" si="7"/>
        <v>32249.892776741905</v>
      </c>
      <c r="L58" s="15">
        <f t="shared" si="7"/>
        <v>12656.119907949156</v>
      </c>
      <c r="M58" s="15">
        <f t="shared" si="7"/>
        <v>352047.8486536609</v>
      </c>
      <c r="N58" s="35">
        <v>7.356583846420022</v>
      </c>
    </row>
    <row r="59" spans="2:14" ht="20.25" customHeight="1" thickBot="1" thickTop="1">
      <c r="B59" s="45" t="s">
        <v>103</v>
      </c>
      <c r="C59" s="46"/>
      <c r="D59" s="46"/>
      <c r="E59" s="46"/>
      <c r="F59" s="46"/>
      <c r="G59" s="17">
        <f aca="true" t="shared" si="8" ref="G59:N59">G8+G32+G58</f>
        <v>182113.08808013803</v>
      </c>
      <c r="H59" s="17">
        <f t="shared" si="8"/>
        <v>314162.7692535317</v>
      </c>
      <c r="I59" s="17">
        <f t="shared" si="8"/>
        <v>4212.8067</v>
      </c>
      <c r="J59" s="17">
        <f t="shared" si="8"/>
        <v>184117.262380138</v>
      </c>
      <c r="K59" s="17">
        <f t="shared" si="8"/>
        <v>71883.62227344987</v>
      </c>
      <c r="L59" s="17">
        <f t="shared" si="8"/>
        <v>18411.726238013795</v>
      </c>
      <c r="M59" s="17">
        <f t="shared" si="8"/>
        <v>774901.2749252716</v>
      </c>
      <c r="N59" s="18">
        <f t="shared" si="8"/>
        <v>16.19275965891136</v>
      </c>
    </row>
    <row r="60" ht="12.75" thickTop="1"/>
    <row r="62" spans="3:14" ht="18">
      <c r="C62" s="47" t="s">
        <v>104</v>
      </c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</row>
    <row r="63" spans="3:11" ht="19.5" customHeight="1">
      <c r="C63" s="36" t="s">
        <v>105</v>
      </c>
      <c r="D63" s="37"/>
      <c r="E63" s="38">
        <f>G59</f>
        <v>182113.08808013803</v>
      </c>
      <c r="F63" s="37"/>
      <c r="G63" s="36" t="s">
        <v>106</v>
      </c>
      <c r="H63" s="37"/>
      <c r="I63" s="37"/>
      <c r="J63" s="38">
        <f>J59</f>
        <v>184117.262380138</v>
      </c>
      <c r="K63" s="37"/>
    </row>
    <row r="64" spans="3:11" ht="19.5" customHeight="1">
      <c r="C64" s="36" t="s">
        <v>107</v>
      </c>
      <c r="D64" s="37"/>
      <c r="E64" s="38">
        <f>H59</f>
        <v>314162.7692535317</v>
      </c>
      <c r="F64" s="37"/>
      <c r="G64" s="36" t="s">
        <v>108</v>
      </c>
      <c r="H64" s="37"/>
      <c r="I64" s="37"/>
      <c r="J64" s="38">
        <f>K59</f>
        <v>71883.62227344987</v>
      </c>
      <c r="K64" s="37"/>
    </row>
    <row r="65" spans="3:11" ht="19.5" customHeight="1">
      <c r="C65" s="36" t="s">
        <v>109</v>
      </c>
      <c r="D65" s="37"/>
      <c r="E65" s="38">
        <f>I59</f>
        <v>4212.8067</v>
      </c>
      <c r="F65" s="37"/>
      <c r="G65" s="36" t="s">
        <v>110</v>
      </c>
      <c r="H65" s="37"/>
      <c r="I65" s="37"/>
      <c r="J65" s="38">
        <f>L59</f>
        <v>18411.726238013795</v>
      </c>
      <c r="K65" s="37"/>
    </row>
    <row r="66" spans="3:11" ht="15">
      <c r="C66" s="5"/>
      <c r="E66" s="19"/>
      <c r="G66" s="36" t="s">
        <v>111</v>
      </c>
      <c r="H66" s="37"/>
      <c r="I66" s="37"/>
      <c r="J66" s="38">
        <f>M59</f>
        <v>774901.2749252716</v>
      </c>
      <c r="K66" s="37"/>
    </row>
    <row r="69" spans="3:14" ht="18.75">
      <c r="C69" s="31" t="s">
        <v>212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3:14" ht="18.75">
      <c r="C70" s="31" t="s">
        <v>213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3:14" ht="21.75" customHeight="1">
      <c r="C71" s="32" t="s">
        <v>214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 t="s">
        <v>215</v>
      </c>
    </row>
  </sheetData>
  <sheetProtection formatCells="0" formatColumns="0" formatRows="0" insertColumns="0" insertRows="0" insertHyperlinks="0" deleteColumns="0" deleteRows="0" sort="0" autoFilter="0" pivotTables="0"/>
  <mergeCells count="25">
    <mergeCell ref="B1:M1"/>
    <mergeCell ref="B4:K4"/>
    <mergeCell ref="L4:M4"/>
    <mergeCell ref="B5:N5"/>
    <mergeCell ref="B8:F8"/>
    <mergeCell ref="B9:N9"/>
    <mergeCell ref="B32:F32"/>
    <mergeCell ref="B33:N33"/>
    <mergeCell ref="B58:F58"/>
    <mergeCell ref="B59:F59"/>
    <mergeCell ref="C62:N62"/>
    <mergeCell ref="C63:D63"/>
    <mergeCell ref="E63:F63"/>
    <mergeCell ref="G63:I63"/>
    <mergeCell ref="J63:K63"/>
    <mergeCell ref="G66:I66"/>
    <mergeCell ref="J66:K66"/>
    <mergeCell ref="C64:D64"/>
    <mergeCell ref="E64:F64"/>
    <mergeCell ref="G64:I64"/>
    <mergeCell ref="J64:K64"/>
    <mergeCell ref="C65:D65"/>
    <mergeCell ref="E65:F65"/>
    <mergeCell ref="G65:I65"/>
    <mergeCell ref="J65:K65"/>
  </mergeCells>
  <printOptions/>
  <pageMargins left="0.35" right="0.35" top="0.35" bottom="0.35" header="0.3" footer="0.3"/>
  <pageSetup fitToHeight="0" fitToWidth="1" horizontalDpi="600" verticalDpi="600" orientation="landscape" paperSize="9" scale="73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workbookViewId="0" topLeftCell="B1">
      <selection activeCell="B90" sqref="B90:G90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60.00390625" style="0" customWidth="1"/>
    <col min="4" max="4" width="13.00390625" style="0" customWidth="1"/>
    <col min="5" max="5" width="11.00390625" style="0" customWidth="1"/>
    <col min="6" max="6" width="13.00390625" style="0" customWidth="1"/>
    <col min="7" max="7" width="15.00390625" style="0" customWidth="1"/>
  </cols>
  <sheetData>
    <row r="1" spans="2:7" ht="27.75" customHeight="1">
      <c r="B1" s="56" t="s">
        <v>112</v>
      </c>
      <c r="C1" s="56"/>
      <c r="D1" s="56"/>
      <c r="E1" s="56"/>
      <c r="F1" s="56"/>
      <c r="G1" s="56"/>
    </row>
    <row r="3" spans="1:7" ht="27">
      <c r="A3" s="20"/>
      <c r="B3" s="21" t="s">
        <v>0</v>
      </c>
      <c r="C3" s="21" t="s">
        <v>113</v>
      </c>
      <c r="D3" s="21" t="s">
        <v>114</v>
      </c>
      <c r="E3" s="21" t="s">
        <v>3</v>
      </c>
      <c r="F3" s="21" t="s">
        <v>115</v>
      </c>
      <c r="G3" s="22" t="s">
        <v>11</v>
      </c>
    </row>
    <row r="4" spans="2:7" ht="16.5">
      <c r="B4" s="55" t="s">
        <v>116</v>
      </c>
      <c r="C4" s="55"/>
      <c r="D4" s="55"/>
      <c r="E4" s="55"/>
      <c r="F4" s="55"/>
      <c r="G4" s="55"/>
    </row>
    <row r="5" spans="2:7" ht="12">
      <c r="B5" s="23">
        <v>1</v>
      </c>
      <c r="C5" s="25" t="s">
        <v>117</v>
      </c>
      <c r="D5" s="25" t="s">
        <v>118</v>
      </c>
      <c r="E5" s="26">
        <v>4.98</v>
      </c>
      <c r="F5" s="27">
        <v>278.02</v>
      </c>
      <c r="G5" s="28">
        <f aca="true" t="shared" si="0" ref="G5:G29">E5*F5</f>
        <v>1384.5396</v>
      </c>
    </row>
    <row r="6" spans="2:7" ht="12">
      <c r="B6" s="24">
        <v>2</v>
      </c>
      <c r="C6" s="7" t="s">
        <v>119</v>
      </c>
      <c r="D6" s="7" t="s">
        <v>118</v>
      </c>
      <c r="E6" s="12">
        <v>147.58</v>
      </c>
      <c r="F6" s="14">
        <v>207.79</v>
      </c>
      <c r="G6" s="29">
        <f t="shared" si="0"/>
        <v>30665.6482</v>
      </c>
    </row>
    <row r="7" spans="2:7" ht="12">
      <c r="B7" s="24">
        <v>3</v>
      </c>
      <c r="C7" s="7" t="s">
        <v>120</v>
      </c>
      <c r="D7" s="7" t="s">
        <v>118</v>
      </c>
      <c r="E7" s="12">
        <v>9.43</v>
      </c>
      <c r="F7" s="14">
        <v>246.52</v>
      </c>
      <c r="G7" s="29">
        <f t="shared" si="0"/>
        <v>2324.6836</v>
      </c>
    </row>
    <row r="8" spans="2:7" ht="12">
      <c r="B8" s="24">
        <v>4</v>
      </c>
      <c r="C8" s="7" t="s">
        <v>121</v>
      </c>
      <c r="D8" s="7" t="s">
        <v>118</v>
      </c>
      <c r="E8" s="12">
        <v>100.1</v>
      </c>
      <c r="F8" s="14">
        <v>246.52</v>
      </c>
      <c r="G8" s="29">
        <f t="shared" si="0"/>
        <v>24676.652</v>
      </c>
    </row>
    <row r="9" spans="2:7" ht="12">
      <c r="B9" s="24">
        <v>5</v>
      </c>
      <c r="C9" s="7" t="s">
        <v>122</v>
      </c>
      <c r="D9" s="7" t="s">
        <v>118</v>
      </c>
      <c r="E9" s="12">
        <v>49.5</v>
      </c>
      <c r="F9" s="14">
        <v>225.42</v>
      </c>
      <c r="G9" s="29">
        <f t="shared" si="0"/>
        <v>11158.289999999999</v>
      </c>
    </row>
    <row r="10" spans="2:7" ht="12">
      <c r="B10" s="24">
        <v>6</v>
      </c>
      <c r="C10" s="7" t="s">
        <v>123</v>
      </c>
      <c r="D10" s="7" t="s">
        <v>118</v>
      </c>
      <c r="E10" s="12">
        <v>99.5</v>
      </c>
      <c r="F10" s="14">
        <v>246.52</v>
      </c>
      <c r="G10" s="29">
        <f t="shared" si="0"/>
        <v>24528.74</v>
      </c>
    </row>
    <row r="11" spans="2:7" ht="12">
      <c r="B11" s="24">
        <v>7</v>
      </c>
      <c r="C11" s="7" t="s">
        <v>124</v>
      </c>
      <c r="D11" s="7" t="s">
        <v>118</v>
      </c>
      <c r="E11" s="12">
        <v>0.78</v>
      </c>
      <c r="F11" s="14">
        <v>246.52</v>
      </c>
      <c r="G11" s="29">
        <f t="shared" si="0"/>
        <v>192.28560000000002</v>
      </c>
    </row>
    <row r="12" spans="2:7" ht="12">
      <c r="B12" s="24">
        <v>8</v>
      </c>
      <c r="C12" s="7" t="s">
        <v>125</v>
      </c>
      <c r="D12" s="7" t="s">
        <v>118</v>
      </c>
      <c r="E12" s="12">
        <v>0.07166667</v>
      </c>
      <c r="F12" s="14">
        <v>225.42</v>
      </c>
      <c r="G12" s="29">
        <f t="shared" si="0"/>
        <v>16.1551007514</v>
      </c>
    </row>
    <row r="13" spans="2:7" ht="12">
      <c r="B13" s="24">
        <v>9</v>
      </c>
      <c r="C13" s="7" t="s">
        <v>126</v>
      </c>
      <c r="D13" s="7" t="s">
        <v>118</v>
      </c>
      <c r="E13" s="12">
        <v>4.97166667</v>
      </c>
      <c r="F13" s="14">
        <v>246.52</v>
      </c>
      <c r="G13" s="29">
        <f t="shared" si="0"/>
        <v>1225.6152674884001</v>
      </c>
    </row>
    <row r="14" spans="2:7" ht="12">
      <c r="B14" s="24">
        <v>10</v>
      </c>
      <c r="C14" s="7" t="s">
        <v>127</v>
      </c>
      <c r="D14" s="7" t="s">
        <v>118</v>
      </c>
      <c r="E14" s="12">
        <v>6</v>
      </c>
      <c r="F14" s="14">
        <v>278.02</v>
      </c>
      <c r="G14" s="29">
        <f t="shared" si="0"/>
        <v>1668.12</v>
      </c>
    </row>
    <row r="15" spans="2:7" ht="12">
      <c r="B15" s="24">
        <v>11</v>
      </c>
      <c r="C15" s="7" t="s">
        <v>128</v>
      </c>
      <c r="D15" s="7" t="s">
        <v>118</v>
      </c>
      <c r="E15" s="12">
        <v>2.26</v>
      </c>
      <c r="F15" s="14">
        <v>278.02</v>
      </c>
      <c r="G15" s="29">
        <f t="shared" si="0"/>
        <v>628.3251999999999</v>
      </c>
    </row>
    <row r="16" spans="2:7" ht="24">
      <c r="B16" s="24">
        <v>12</v>
      </c>
      <c r="C16" s="7" t="s">
        <v>129</v>
      </c>
      <c r="D16" s="7" t="s">
        <v>118</v>
      </c>
      <c r="E16" s="12">
        <v>0.72</v>
      </c>
      <c r="F16" s="14">
        <v>278.02</v>
      </c>
      <c r="G16" s="29">
        <f t="shared" si="0"/>
        <v>200.1744</v>
      </c>
    </row>
    <row r="17" spans="2:7" ht="12">
      <c r="B17" s="24">
        <v>13</v>
      </c>
      <c r="C17" s="7" t="s">
        <v>130</v>
      </c>
      <c r="D17" s="7" t="s">
        <v>118</v>
      </c>
      <c r="E17" s="12">
        <v>1.5</v>
      </c>
      <c r="F17" s="14">
        <v>225.42</v>
      </c>
      <c r="G17" s="29">
        <f t="shared" si="0"/>
        <v>338.13</v>
      </c>
    </row>
    <row r="18" spans="2:7" ht="12">
      <c r="B18" s="24">
        <v>14</v>
      </c>
      <c r="C18" s="7" t="s">
        <v>131</v>
      </c>
      <c r="D18" s="7" t="s">
        <v>118</v>
      </c>
      <c r="E18" s="12">
        <v>7.8</v>
      </c>
      <c r="F18" s="14">
        <v>207.79</v>
      </c>
      <c r="G18" s="29">
        <f t="shared" si="0"/>
        <v>1620.762</v>
      </c>
    </row>
    <row r="19" spans="2:7" ht="24">
      <c r="B19" s="24">
        <v>15</v>
      </c>
      <c r="C19" s="7" t="s">
        <v>132</v>
      </c>
      <c r="D19" s="7" t="s">
        <v>118</v>
      </c>
      <c r="E19" s="12">
        <v>279.74519998</v>
      </c>
      <c r="F19" s="14">
        <v>225.42</v>
      </c>
      <c r="G19" s="29">
        <f t="shared" si="0"/>
        <v>63060.16297949159</v>
      </c>
    </row>
    <row r="20" spans="2:7" ht="24">
      <c r="B20" s="24">
        <v>16</v>
      </c>
      <c r="C20" s="7" t="s">
        <v>133</v>
      </c>
      <c r="D20" s="7" t="s">
        <v>118</v>
      </c>
      <c r="E20" s="12">
        <v>8</v>
      </c>
      <c r="F20" s="14">
        <v>278.02</v>
      </c>
      <c r="G20" s="29">
        <f t="shared" si="0"/>
        <v>2224.16</v>
      </c>
    </row>
    <row r="21" spans="2:7" ht="24">
      <c r="B21" s="24">
        <v>17</v>
      </c>
      <c r="C21" s="7" t="s">
        <v>134</v>
      </c>
      <c r="D21" s="7" t="s">
        <v>118</v>
      </c>
      <c r="E21" s="12">
        <v>3.15</v>
      </c>
      <c r="F21" s="14">
        <v>225.42</v>
      </c>
      <c r="G21" s="29">
        <f t="shared" si="0"/>
        <v>710.073</v>
      </c>
    </row>
    <row r="22" spans="2:7" ht="24">
      <c r="B22" s="24">
        <v>18</v>
      </c>
      <c r="C22" s="7" t="s">
        <v>135</v>
      </c>
      <c r="D22" s="7" t="s">
        <v>118</v>
      </c>
      <c r="E22" s="12">
        <v>3.15</v>
      </c>
      <c r="F22" s="14">
        <v>246.52</v>
      </c>
      <c r="G22" s="29">
        <f t="shared" si="0"/>
        <v>776.538</v>
      </c>
    </row>
    <row r="23" spans="2:7" ht="12">
      <c r="B23" s="24">
        <v>19</v>
      </c>
      <c r="C23" s="7" t="s">
        <v>136</v>
      </c>
      <c r="D23" s="7" t="s">
        <v>118</v>
      </c>
      <c r="E23" s="12">
        <v>16.8</v>
      </c>
      <c r="F23" s="14">
        <v>246.52</v>
      </c>
      <c r="G23" s="29">
        <f t="shared" si="0"/>
        <v>4141.536</v>
      </c>
    </row>
    <row r="24" spans="2:7" ht="12">
      <c r="B24" s="24">
        <v>20</v>
      </c>
      <c r="C24" s="7" t="s">
        <v>137</v>
      </c>
      <c r="D24" s="7" t="s">
        <v>118</v>
      </c>
      <c r="E24" s="12">
        <v>10.1</v>
      </c>
      <c r="F24" s="14">
        <v>246.52</v>
      </c>
      <c r="G24" s="29">
        <f t="shared" si="0"/>
        <v>2489.852</v>
      </c>
    </row>
    <row r="25" spans="2:7" ht="12">
      <c r="B25" s="24">
        <v>21</v>
      </c>
      <c r="C25" s="7" t="s">
        <v>138</v>
      </c>
      <c r="D25" s="7" t="s">
        <v>118</v>
      </c>
      <c r="E25" s="12">
        <v>6.7</v>
      </c>
      <c r="F25" s="14">
        <v>225.42</v>
      </c>
      <c r="G25" s="29">
        <f t="shared" si="0"/>
        <v>1510.3139999999999</v>
      </c>
    </row>
    <row r="26" spans="2:7" ht="12">
      <c r="B26" s="24">
        <v>22</v>
      </c>
      <c r="C26" s="7" t="s">
        <v>139</v>
      </c>
      <c r="D26" s="7" t="s">
        <v>118</v>
      </c>
      <c r="E26" s="12">
        <v>6</v>
      </c>
      <c r="F26" s="14">
        <v>278.02</v>
      </c>
      <c r="G26" s="29">
        <f t="shared" si="0"/>
        <v>1668.12</v>
      </c>
    </row>
    <row r="27" spans="2:7" ht="12">
      <c r="B27" s="24">
        <v>23</v>
      </c>
      <c r="C27" s="7" t="s">
        <v>140</v>
      </c>
      <c r="D27" s="7" t="s">
        <v>118</v>
      </c>
      <c r="E27" s="12">
        <v>1.6</v>
      </c>
      <c r="F27" s="14">
        <v>225.42</v>
      </c>
      <c r="G27" s="29">
        <f t="shared" si="0"/>
        <v>360.672</v>
      </c>
    </row>
    <row r="28" spans="2:7" ht="24">
      <c r="B28" s="24">
        <v>24</v>
      </c>
      <c r="C28" s="7" t="s">
        <v>141</v>
      </c>
      <c r="D28" s="7" t="s">
        <v>118</v>
      </c>
      <c r="E28" s="12">
        <v>7.995</v>
      </c>
      <c r="F28" s="14">
        <v>246.52</v>
      </c>
      <c r="G28" s="29">
        <f t="shared" si="0"/>
        <v>1970.9274</v>
      </c>
    </row>
    <row r="29" spans="2:7" ht="24">
      <c r="B29" s="24">
        <v>25</v>
      </c>
      <c r="C29" s="7" t="s">
        <v>142</v>
      </c>
      <c r="D29" s="7" t="s">
        <v>118</v>
      </c>
      <c r="E29" s="12">
        <v>9.25333333</v>
      </c>
      <c r="F29" s="14">
        <v>278.02</v>
      </c>
      <c r="G29" s="29">
        <f t="shared" si="0"/>
        <v>2572.6117324066</v>
      </c>
    </row>
    <row r="30" spans="2:7" ht="12">
      <c r="B30" s="52" t="s">
        <v>143</v>
      </c>
      <c r="C30" s="53"/>
      <c r="D30" s="53"/>
      <c r="E30" s="53"/>
      <c r="F30" s="54"/>
      <c r="G30" s="30">
        <f>SUM(G5:G29)</f>
        <v>182113.08808013803</v>
      </c>
    </row>
    <row r="31" spans="2:7" ht="16.5">
      <c r="B31" s="55" t="s">
        <v>144</v>
      </c>
      <c r="C31" s="55"/>
      <c r="D31" s="55"/>
      <c r="E31" s="55"/>
      <c r="F31" s="55"/>
      <c r="G31" s="55"/>
    </row>
    <row r="32" spans="2:7" ht="12">
      <c r="B32" s="23">
        <v>26</v>
      </c>
      <c r="C32" s="25" t="s">
        <v>145</v>
      </c>
      <c r="D32" s="25" t="s">
        <v>146</v>
      </c>
      <c r="E32" s="26">
        <v>2E-06</v>
      </c>
      <c r="F32" s="27">
        <v>73102.56</v>
      </c>
      <c r="G32" s="28">
        <f aca="true" t="shared" si="1" ref="G32:G74">E32*F32</f>
        <v>0.14620512</v>
      </c>
    </row>
    <row r="33" spans="2:7" ht="12">
      <c r="B33" s="24">
        <v>27</v>
      </c>
      <c r="C33" s="7" t="s">
        <v>147</v>
      </c>
      <c r="D33" s="7" t="s">
        <v>146</v>
      </c>
      <c r="E33" s="12">
        <v>0.1</v>
      </c>
      <c r="F33" s="14">
        <v>19020.828</v>
      </c>
      <c r="G33" s="29">
        <f t="shared" si="1"/>
        <v>1902.0828000000001</v>
      </c>
    </row>
    <row r="34" spans="2:7" ht="24">
      <c r="B34" s="24">
        <v>28</v>
      </c>
      <c r="C34" s="7" t="s">
        <v>148</v>
      </c>
      <c r="D34" s="7" t="s">
        <v>146</v>
      </c>
      <c r="E34" s="12">
        <v>0.005</v>
      </c>
      <c r="F34" s="14">
        <v>134848.932</v>
      </c>
      <c r="G34" s="29">
        <f t="shared" si="1"/>
        <v>674.2446600000001</v>
      </c>
    </row>
    <row r="35" spans="2:7" ht="12">
      <c r="B35" s="24">
        <v>29</v>
      </c>
      <c r="C35" s="7" t="s">
        <v>149</v>
      </c>
      <c r="D35" s="7" t="s">
        <v>150</v>
      </c>
      <c r="E35" s="12">
        <v>0.002</v>
      </c>
      <c r="F35" s="14">
        <v>468.576</v>
      </c>
      <c r="G35" s="29">
        <f t="shared" si="1"/>
        <v>0.9371520000000001</v>
      </c>
    </row>
    <row r="36" spans="2:7" ht="12">
      <c r="B36" s="24">
        <v>30</v>
      </c>
      <c r="C36" s="7" t="s">
        <v>151</v>
      </c>
      <c r="D36" s="7" t="s">
        <v>152</v>
      </c>
      <c r="E36" s="12">
        <v>6.85</v>
      </c>
      <c r="F36" s="14">
        <v>31.644</v>
      </c>
      <c r="G36" s="29">
        <f t="shared" si="1"/>
        <v>216.76139999999998</v>
      </c>
    </row>
    <row r="37" spans="2:7" ht="12">
      <c r="B37" s="24">
        <v>31</v>
      </c>
      <c r="C37" s="7" t="s">
        <v>153</v>
      </c>
      <c r="D37" s="7" t="s">
        <v>146</v>
      </c>
      <c r="E37" s="12">
        <v>1E-05</v>
      </c>
      <c r="F37" s="14">
        <v>252977.268</v>
      </c>
      <c r="G37" s="29">
        <f t="shared" si="1"/>
        <v>2.52977268</v>
      </c>
    </row>
    <row r="38" spans="2:7" ht="12">
      <c r="B38" s="24">
        <v>32</v>
      </c>
      <c r="C38" s="7" t="s">
        <v>154</v>
      </c>
      <c r="D38" s="7" t="s">
        <v>155</v>
      </c>
      <c r="E38" s="12">
        <v>29.6</v>
      </c>
      <c r="F38" s="14">
        <v>0</v>
      </c>
      <c r="G38" s="29">
        <f t="shared" si="1"/>
        <v>0</v>
      </c>
    </row>
    <row r="39" spans="2:7" ht="12">
      <c r="B39" s="24">
        <v>33</v>
      </c>
      <c r="C39" s="7" t="s">
        <v>156</v>
      </c>
      <c r="D39" s="7" t="s">
        <v>146</v>
      </c>
      <c r="E39" s="12">
        <v>0.0014</v>
      </c>
      <c r="F39" s="14">
        <v>72421.824</v>
      </c>
      <c r="G39" s="29">
        <f t="shared" si="1"/>
        <v>101.39055359999999</v>
      </c>
    </row>
    <row r="40" spans="2:7" ht="12">
      <c r="B40" s="24">
        <v>34</v>
      </c>
      <c r="C40" s="7" t="s">
        <v>157</v>
      </c>
      <c r="D40" s="7" t="s">
        <v>152</v>
      </c>
      <c r="E40" s="12">
        <v>0.833</v>
      </c>
      <c r="F40" s="14">
        <v>153.35999999999999</v>
      </c>
      <c r="G40" s="29">
        <f t="shared" si="1"/>
        <v>127.74887999999999</v>
      </c>
    </row>
    <row r="41" spans="2:7" ht="12">
      <c r="B41" s="24">
        <v>35</v>
      </c>
      <c r="C41" s="7" t="s">
        <v>158</v>
      </c>
      <c r="D41" s="7" t="s">
        <v>152</v>
      </c>
      <c r="E41" s="12">
        <v>3.62</v>
      </c>
      <c r="F41" s="14">
        <v>75.52799999999999</v>
      </c>
      <c r="G41" s="29">
        <f t="shared" si="1"/>
        <v>273.41136</v>
      </c>
    </row>
    <row r="42" spans="2:7" ht="24">
      <c r="B42" s="24">
        <v>36</v>
      </c>
      <c r="C42" s="7" t="s">
        <v>159</v>
      </c>
      <c r="D42" s="7" t="s">
        <v>155</v>
      </c>
      <c r="E42" s="12">
        <v>0.012</v>
      </c>
      <c r="F42" s="14">
        <v>6504.084</v>
      </c>
      <c r="G42" s="29">
        <f t="shared" si="1"/>
        <v>78.049008</v>
      </c>
    </row>
    <row r="43" spans="2:7" ht="12">
      <c r="B43" s="24">
        <v>37</v>
      </c>
      <c r="C43" s="7" t="s">
        <v>160</v>
      </c>
      <c r="D43" s="7" t="s">
        <v>152</v>
      </c>
      <c r="E43" s="12">
        <v>0.208</v>
      </c>
      <c r="F43" s="14">
        <v>1155.552</v>
      </c>
      <c r="G43" s="29">
        <f t="shared" si="1"/>
        <v>240.35481599999997</v>
      </c>
    </row>
    <row r="44" spans="2:7" ht="12">
      <c r="B44" s="24">
        <v>38</v>
      </c>
      <c r="C44" s="7" t="s">
        <v>161</v>
      </c>
      <c r="D44" s="7" t="s">
        <v>146</v>
      </c>
      <c r="E44" s="12">
        <v>0.0027</v>
      </c>
      <c r="F44" s="14">
        <v>95397.80399999999</v>
      </c>
      <c r="G44" s="29">
        <f t="shared" si="1"/>
        <v>257.57407079999996</v>
      </c>
    </row>
    <row r="45" spans="2:7" ht="24">
      <c r="B45" s="24">
        <v>39</v>
      </c>
      <c r="C45" s="7" t="s">
        <v>162</v>
      </c>
      <c r="D45" s="7" t="s">
        <v>146</v>
      </c>
      <c r="E45" s="12">
        <v>0.0006</v>
      </c>
      <c r="F45" s="14">
        <v>83161.932</v>
      </c>
      <c r="G45" s="29">
        <f t="shared" si="1"/>
        <v>49.8971592</v>
      </c>
    </row>
    <row r="46" spans="2:7" ht="24">
      <c r="B46" s="24">
        <v>40</v>
      </c>
      <c r="C46" s="7" t="s">
        <v>163</v>
      </c>
      <c r="D46" s="7" t="s">
        <v>146</v>
      </c>
      <c r="E46" s="12">
        <v>0.00504</v>
      </c>
      <c r="F46" s="14">
        <v>80486.07599999999</v>
      </c>
      <c r="G46" s="29">
        <f t="shared" si="1"/>
        <v>405.64982303999994</v>
      </c>
    </row>
    <row r="47" spans="2:7" ht="12">
      <c r="B47" s="24">
        <v>41</v>
      </c>
      <c r="C47" s="7" t="s">
        <v>164</v>
      </c>
      <c r="D47" s="7" t="s">
        <v>165</v>
      </c>
      <c r="E47" s="12">
        <v>1</v>
      </c>
      <c r="F47" s="14">
        <v>228.756</v>
      </c>
      <c r="G47" s="29">
        <f t="shared" si="1"/>
        <v>228.756</v>
      </c>
    </row>
    <row r="48" spans="2:7" ht="24">
      <c r="B48" s="24">
        <v>42</v>
      </c>
      <c r="C48" s="7" t="s">
        <v>166</v>
      </c>
      <c r="D48" s="7" t="s">
        <v>152</v>
      </c>
      <c r="E48" s="12">
        <v>0.2</v>
      </c>
      <c r="F48" s="14">
        <v>136.524</v>
      </c>
      <c r="G48" s="29">
        <f t="shared" si="1"/>
        <v>27.3048</v>
      </c>
    </row>
    <row r="49" spans="2:7" ht="12">
      <c r="B49" s="24">
        <v>43</v>
      </c>
      <c r="C49" s="7" t="s">
        <v>167</v>
      </c>
      <c r="D49" s="7" t="s">
        <v>152</v>
      </c>
      <c r="E49" s="12">
        <v>5</v>
      </c>
      <c r="F49" s="14">
        <v>99.86399999999999</v>
      </c>
      <c r="G49" s="29">
        <f t="shared" si="1"/>
        <v>499.31999999999994</v>
      </c>
    </row>
    <row r="50" spans="2:7" ht="12">
      <c r="B50" s="24">
        <v>44</v>
      </c>
      <c r="C50" s="7" t="s">
        <v>168</v>
      </c>
      <c r="D50" s="7" t="s">
        <v>155</v>
      </c>
      <c r="E50" s="12">
        <v>1.55</v>
      </c>
      <c r="F50" s="14">
        <v>11528.855999999998</v>
      </c>
      <c r="G50" s="29">
        <f t="shared" si="1"/>
        <v>17869.726799999997</v>
      </c>
    </row>
    <row r="51" spans="2:7" ht="24">
      <c r="B51" s="24">
        <v>45</v>
      </c>
      <c r="C51" s="7" t="s">
        <v>169</v>
      </c>
      <c r="D51" s="7" t="s">
        <v>155</v>
      </c>
      <c r="E51" s="12">
        <v>13.1</v>
      </c>
      <c r="F51" s="14">
        <v>6864.06</v>
      </c>
      <c r="G51" s="29">
        <f t="shared" si="1"/>
        <v>89919.186</v>
      </c>
    </row>
    <row r="52" spans="2:7" ht="12">
      <c r="B52" s="24">
        <v>46</v>
      </c>
      <c r="C52" s="7" t="s">
        <v>170</v>
      </c>
      <c r="D52" s="7" t="s">
        <v>171</v>
      </c>
      <c r="E52" s="12">
        <v>0.00524</v>
      </c>
      <c r="F52" s="14">
        <v>4610.112</v>
      </c>
      <c r="G52" s="29">
        <f t="shared" si="1"/>
        <v>24.156986879999998</v>
      </c>
    </row>
    <row r="53" spans="2:7" ht="12">
      <c r="B53" s="24">
        <v>47</v>
      </c>
      <c r="C53" s="7" t="s">
        <v>172</v>
      </c>
      <c r="D53" s="7" t="s">
        <v>152</v>
      </c>
      <c r="E53" s="12">
        <v>4.44</v>
      </c>
      <c r="F53" s="14">
        <v>398.652</v>
      </c>
      <c r="G53" s="29">
        <f t="shared" si="1"/>
        <v>1770.0148800000002</v>
      </c>
    </row>
    <row r="54" spans="2:7" ht="12">
      <c r="B54" s="24">
        <v>48</v>
      </c>
      <c r="C54" s="7" t="s">
        <v>173</v>
      </c>
      <c r="D54" s="7" t="s">
        <v>152</v>
      </c>
      <c r="E54" s="12">
        <v>4.2</v>
      </c>
      <c r="F54" s="14">
        <v>74.196</v>
      </c>
      <c r="G54" s="29">
        <f t="shared" si="1"/>
        <v>311.6232</v>
      </c>
    </row>
    <row r="55" spans="2:7" ht="12">
      <c r="B55" s="24">
        <v>49</v>
      </c>
      <c r="C55" s="7" t="s">
        <v>174</v>
      </c>
      <c r="D55" s="7" t="s">
        <v>165</v>
      </c>
      <c r="E55" s="12">
        <v>13.5</v>
      </c>
      <c r="F55" s="14">
        <v>10.895999999999999</v>
      </c>
      <c r="G55" s="29">
        <f t="shared" si="1"/>
        <v>147.09599999999998</v>
      </c>
    </row>
    <row r="56" spans="2:7" ht="12">
      <c r="B56" s="24">
        <v>50</v>
      </c>
      <c r="C56" s="7" t="s">
        <v>175</v>
      </c>
      <c r="D56" s="7" t="s">
        <v>176</v>
      </c>
      <c r="E56" s="12">
        <v>52.5</v>
      </c>
      <c r="F56" s="14">
        <v>3.852</v>
      </c>
      <c r="G56" s="29">
        <f t="shared" si="1"/>
        <v>202.23</v>
      </c>
    </row>
    <row r="57" spans="2:7" ht="12">
      <c r="B57" s="24">
        <v>51</v>
      </c>
      <c r="C57" s="7" t="s">
        <v>177</v>
      </c>
      <c r="D57" s="7" t="s">
        <v>146</v>
      </c>
      <c r="E57" s="12">
        <v>0.01804</v>
      </c>
      <c r="F57" s="14">
        <v>48495.515999999996</v>
      </c>
      <c r="G57" s="29">
        <f t="shared" si="1"/>
        <v>874.8591086399999</v>
      </c>
    </row>
    <row r="58" spans="2:7" ht="12">
      <c r="B58" s="24">
        <v>52</v>
      </c>
      <c r="C58" s="7" t="s">
        <v>178</v>
      </c>
      <c r="D58" s="7" t="s">
        <v>146</v>
      </c>
      <c r="E58" s="12">
        <v>0.9</v>
      </c>
      <c r="F58" s="14">
        <v>6242.94</v>
      </c>
      <c r="G58" s="29">
        <f t="shared" si="1"/>
        <v>5618.646</v>
      </c>
    </row>
    <row r="59" spans="2:7" ht="12">
      <c r="B59" s="24">
        <v>53</v>
      </c>
      <c r="C59" s="7" t="s">
        <v>179</v>
      </c>
      <c r="D59" s="7" t="s">
        <v>165</v>
      </c>
      <c r="E59" s="12">
        <v>1</v>
      </c>
      <c r="F59" s="14">
        <v>26.004</v>
      </c>
      <c r="G59" s="29">
        <f t="shared" si="1"/>
        <v>26.004</v>
      </c>
    </row>
    <row r="60" spans="2:7" ht="12">
      <c r="B60" s="24">
        <v>54</v>
      </c>
      <c r="C60" s="7" t="s">
        <v>180</v>
      </c>
      <c r="D60" s="7" t="s">
        <v>146</v>
      </c>
      <c r="E60" s="12">
        <v>7.96E-06</v>
      </c>
      <c r="F60" s="14">
        <v>51496.57199999999</v>
      </c>
      <c r="G60" s="29">
        <f t="shared" si="1"/>
        <v>0.40991271311999994</v>
      </c>
    </row>
    <row r="61" spans="2:7" ht="12">
      <c r="B61" s="24">
        <v>55</v>
      </c>
      <c r="C61" s="7" t="s">
        <v>181</v>
      </c>
      <c r="D61" s="7" t="s">
        <v>155</v>
      </c>
      <c r="E61" s="12">
        <v>26.1</v>
      </c>
      <c r="F61" s="14">
        <v>5252.568</v>
      </c>
      <c r="G61" s="29">
        <f t="shared" si="1"/>
        <v>137092.0248</v>
      </c>
    </row>
    <row r="62" spans="2:7" ht="12">
      <c r="B62" s="24">
        <v>56</v>
      </c>
      <c r="C62" s="7" t="s">
        <v>182</v>
      </c>
      <c r="D62" s="7" t="s">
        <v>155</v>
      </c>
      <c r="E62" s="12">
        <v>0.008</v>
      </c>
      <c r="F62" s="14">
        <v>2308.008</v>
      </c>
      <c r="G62" s="29">
        <f t="shared" si="1"/>
        <v>18.464064</v>
      </c>
    </row>
    <row r="63" spans="2:7" ht="12">
      <c r="B63" s="24">
        <v>57</v>
      </c>
      <c r="C63" s="7" t="s">
        <v>183</v>
      </c>
      <c r="D63" s="7" t="s">
        <v>152</v>
      </c>
      <c r="E63" s="12">
        <v>2</v>
      </c>
      <c r="F63" s="14">
        <v>185.544</v>
      </c>
      <c r="G63" s="29">
        <f t="shared" si="1"/>
        <v>371.088</v>
      </c>
    </row>
    <row r="64" spans="2:7" ht="12">
      <c r="B64" s="24">
        <v>58</v>
      </c>
      <c r="C64" s="7" t="s">
        <v>184</v>
      </c>
      <c r="D64" s="7" t="s">
        <v>185</v>
      </c>
      <c r="E64" s="12">
        <v>320</v>
      </c>
      <c r="F64" s="14">
        <v>15.515999999999998</v>
      </c>
      <c r="G64" s="29">
        <f t="shared" si="1"/>
        <v>4965.119999999999</v>
      </c>
    </row>
    <row r="65" spans="2:7" ht="24">
      <c r="B65" s="24">
        <v>59</v>
      </c>
      <c r="C65" s="7" t="s">
        <v>186</v>
      </c>
      <c r="D65" s="7" t="s">
        <v>187</v>
      </c>
      <c r="E65" s="12">
        <v>12.0689</v>
      </c>
      <c r="F65" s="14">
        <v>147.624</v>
      </c>
      <c r="G65" s="29">
        <f t="shared" si="1"/>
        <v>1781.6592935999997</v>
      </c>
    </row>
    <row r="66" spans="2:7" ht="12">
      <c r="B66" s="24">
        <v>60</v>
      </c>
      <c r="C66" s="7" t="s">
        <v>188</v>
      </c>
      <c r="D66" s="7" t="s">
        <v>146</v>
      </c>
      <c r="E66" s="12">
        <v>0.0001</v>
      </c>
      <c r="F66" s="14">
        <v>57779.664</v>
      </c>
      <c r="G66" s="29">
        <f t="shared" si="1"/>
        <v>5.7779664</v>
      </c>
    </row>
    <row r="67" spans="2:7" ht="36">
      <c r="B67" s="24">
        <v>61</v>
      </c>
      <c r="C67" s="7" t="s">
        <v>189</v>
      </c>
      <c r="D67" s="7" t="s">
        <v>146</v>
      </c>
      <c r="E67" s="12">
        <v>11.9</v>
      </c>
      <c r="F67" s="14">
        <v>3747.252</v>
      </c>
      <c r="G67" s="29">
        <f t="shared" si="1"/>
        <v>44592.298800000004</v>
      </c>
    </row>
    <row r="68" spans="2:7" ht="12">
      <c r="B68" s="24">
        <v>62</v>
      </c>
      <c r="C68" s="7" t="s">
        <v>190</v>
      </c>
      <c r="D68" s="7" t="s">
        <v>146</v>
      </c>
      <c r="E68" s="12">
        <v>4E-06</v>
      </c>
      <c r="F68" s="14">
        <v>142200.408</v>
      </c>
      <c r="G68" s="29">
        <f t="shared" si="1"/>
        <v>0.568801632</v>
      </c>
    </row>
    <row r="69" spans="2:7" ht="12">
      <c r="B69" s="24">
        <v>63</v>
      </c>
      <c r="C69" s="7" t="s">
        <v>191</v>
      </c>
      <c r="D69" s="7" t="s">
        <v>146</v>
      </c>
      <c r="E69" s="12">
        <v>0.023</v>
      </c>
      <c r="F69" s="14">
        <v>50112.384</v>
      </c>
      <c r="G69" s="29">
        <f t="shared" si="1"/>
        <v>1152.584832</v>
      </c>
    </row>
    <row r="70" spans="2:7" ht="12">
      <c r="B70" s="24">
        <v>64</v>
      </c>
      <c r="C70" s="7" t="s">
        <v>192</v>
      </c>
      <c r="D70" s="7" t="s">
        <v>150</v>
      </c>
      <c r="E70" s="12">
        <v>1.2</v>
      </c>
      <c r="F70" s="14">
        <v>531.42</v>
      </c>
      <c r="G70" s="29">
        <f t="shared" si="1"/>
        <v>637.704</v>
      </c>
    </row>
    <row r="71" spans="2:7" ht="36">
      <c r="B71" s="24">
        <v>65</v>
      </c>
      <c r="C71" s="7" t="s">
        <v>193</v>
      </c>
      <c r="D71" s="7" t="s">
        <v>185</v>
      </c>
      <c r="E71" s="12">
        <v>2</v>
      </c>
      <c r="F71" s="14">
        <v>401.532</v>
      </c>
      <c r="G71" s="29">
        <f t="shared" si="1"/>
        <v>803.064</v>
      </c>
    </row>
    <row r="72" spans="2:7" ht="12">
      <c r="B72" s="24">
        <v>66</v>
      </c>
      <c r="C72" s="7" t="s">
        <v>194</v>
      </c>
      <c r="D72" s="7" t="s">
        <v>165</v>
      </c>
      <c r="E72" s="12">
        <v>1</v>
      </c>
      <c r="F72" s="14">
        <v>119.676</v>
      </c>
      <c r="G72" s="29">
        <f t="shared" si="1"/>
        <v>119.676</v>
      </c>
    </row>
    <row r="73" spans="2:7" ht="12">
      <c r="B73" s="24">
        <v>67</v>
      </c>
      <c r="C73" s="7" t="s">
        <v>195</v>
      </c>
      <c r="D73" s="7" t="s">
        <v>165</v>
      </c>
      <c r="E73" s="12">
        <v>1</v>
      </c>
      <c r="F73" s="14">
        <v>130.704</v>
      </c>
      <c r="G73" s="29">
        <f t="shared" si="1"/>
        <v>130.704</v>
      </c>
    </row>
    <row r="74" spans="2:7" ht="12">
      <c r="B74" s="24">
        <v>68</v>
      </c>
      <c r="C74" s="7" t="s">
        <v>196</v>
      </c>
      <c r="D74" s="7" t="s">
        <v>146</v>
      </c>
      <c r="E74" s="12">
        <v>0.0005</v>
      </c>
      <c r="F74" s="14">
        <v>96873.37199999999</v>
      </c>
      <c r="G74" s="29">
        <f t="shared" si="1"/>
        <v>48.436685999999995</v>
      </c>
    </row>
    <row r="75" spans="2:7" ht="12">
      <c r="B75" s="52" t="s">
        <v>143</v>
      </c>
      <c r="C75" s="53"/>
      <c r="D75" s="53"/>
      <c r="E75" s="53"/>
      <c r="F75" s="54"/>
      <c r="G75" s="30">
        <f>SUM(G32:G74)</f>
        <v>313569.28259230516</v>
      </c>
    </row>
    <row r="76" spans="2:7" ht="16.5">
      <c r="B76" s="55" t="s">
        <v>197</v>
      </c>
      <c r="C76" s="55"/>
      <c r="D76" s="55"/>
      <c r="E76" s="55"/>
      <c r="F76" s="55"/>
      <c r="G76" s="55"/>
    </row>
    <row r="77" spans="2:7" ht="12">
      <c r="B77" s="23">
        <v>69</v>
      </c>
      <c r="C77" s="25" t="s">
        <v>198</v>
      </c>
      <c r="D77" s="25" t="s">
        <v>165</v>
      </c>
      <c r="E77" s="26">
        <v>0.13117574</v>
      </c>
      <c r="F77" s="27">
        <v>147.6</v>
      </c>
      <c r="G77" s="28">
        <f aca="true" t="shared" si="2" ref="G77:G85">E77*F77</f>
        <v>19.361539224</v>
      </c>
    </row>
    <row r="78" spans="2:7" ht="12">
      <c r="B78" s="24">
        <v>70</v>
      </c>
      <c r="C78" s="7" t="s">
        <v>199</v>
      </c>
      <c r="D78" s="7" t="s">
        <v>165</v>
      </c>
      <c r="E78" s="12">
        <v>1.25684844</v>
      </c>
      <c r="F78" s="14">
        <v>98.39999999999999</v>
      </c>
      <c r="G78" s="29">
        <f t="shared" si="2"/>
        <v>123.67388649599998</v>
      </c>
    </row>
    <row r="79" spans="2:7" ht="12">
      <c r="B79" s="24">
        <v>71</v>
      </c>
      <c r="C79" s="7" t="s">
        <v>200</v>
      </c>
      <c r="D79" s="7" t="s">
        <v>165</v>
      </c>
      <c r="E79" s="12">
        <v>0.0012</v>
      </c>
      <c r="F79" s="14">
        <v>195.816</v>
      </c>
      <c r="G79" s="29">
        <f t="shared" si="2"/>
        <v>0.23497919999999997</v>
      </c>
    </row>
    <row r="80" spans="2:7" ht="12">
      <c r="B80" s="24">
        <v>72</v>
      </c>
      <c r="C80" s="7" t="s">
        <v>201</v>
      </c>
      <c r="D80" s="7" t="s">
        <v>165</v>
      </c>
      <c r="E80" s="12">
        <v>0.03</v>
      </c>
      <c r="F80" s="14">
        <v>186.96</v>
      </c>
      <c r="G80" s="29">
        <f t="shared" si="2"/>
        <v>5.6088000000000005</v>
      </c>
    </row>
    <row r="81" spans="2:7" ht="12">
      <c r="B81" s="24">
        <v>73</v>
      </c>
      <c r="C81" s="7" t="s">
        <v>202</v>
      </c>
      <c r="D81" s="7" t="s">
        <v>165</v>
      </c>
      <c r="E81" s="12">
        <v>3.928</v>
      </c>
      <c r="F81" s="14">
        <v>109.22399999999999</v>
      </c>
      <c r="G81" s="29">
        <f t="shared" si="2"/>
        <v>429.03187199999996</v>
      </c>
    </row>
    <row r="82" spans="2:7" ht="12">
      <c r="B82" s="24">
        <v>74</v>
      </c>
      <c r="C82" s="7" t="s">
        <v>203</v>
      </c>
      <c r="D82" s="7" t="s">
        <v>165</v>
      </c>
      <c r="E82" s="12">
        <v>0.0312</v>
      </c>
      <c r="F82" s="14">
        <v>156.456</v>
      </c>
      <c r="G82" s="29">
        <f t="shared" si="2"/>
        <v>4.881427199999999</v>
      </c>
    </row>
    <row r="83" spans="2:7" ht="12">
      <c r="B83" s="24">
        <v>75</v>
      </c>
      <c r="C83" s="7" t="s">
        <v>204</v>
      </c>
      <c r="D83" s="7" t="s">
        <v>165</v>
      </c>
      <c r="E83" s="12">
        <v>0.05366868</v>
      </c>
      <c r="F83" s="14">
        <v>97.41600000000001</v>
      </c>
      <c r="G83" s="29">
        <f t="shared" si="2"/>
        <v>5.228188130880001</v>
      </c>
    </row>
    <row r="84" spans="2:7" ht="12">
      <c r="B84" s="24">
        <v>76</v>
      </c>
      <c r="C84" s="7" t="s">
        <v>205</v>
      </c>
      <c r="D84" s="7" t="s">
        <v>165</v>
      </c>
      <c r="E84" s="12">
        <v>0.0341919</v>
      </c>
      <c r="F84" s="14">
        <v>127.91999999999999</v>
      </c>
      <c r="G84" s="29">
        <f t="shared" si="2"/>
        <v>4.3738278479999995</v>
      </c>
    </row>
    <row r="85" spans="2:7" ht="12">
      <c r="B85" s="24">
        <v>77</v>
      </c>
      <c r="C85" s="7" t="s">
        <v>206</v>
      </c>
      <c r="D85" s="7" t="s">
        <v>165</v>
      </c>
      <c r="E85" s="12">
        <v>0.00338384</v>
      </c>
      <c r="F85" s="14">
        <v>322.75199999999995</v>
      </c>
      <c r="G85" s="29">
        <f t="shared" si="2"/>
        <v>1.0921411276799997</v>
      </c>
    </row>
    <row r="86" spans="2:7" ht="12">
      <c r="B86" s="52" t="s">
        <v>143</v>
      </c>
      <c r="C86" s="53"/>
      <c r="D86" s="53"/>
      <c r="E86" s="53"/>
      <c r="F86" s="54"/>
      <c r="G86" s="30">
        <f>SUM(G77:G85)</f>
        <v>593.4866612265598</v>
      </c>
    </row>
    <row r="87" spans="2:7" ht="16.5">
      <c r="B87" s="55" t="s">
        <v>207</v>
      </c>
      <c r="C87" s="55"/>
      <c r="D87" s="55"/>
      <c r="E87" s="55"/>
      <c r="F87" s="55"/>
      <c r="G87" s="55"/>
    </row>
    <row r="88" spans="2:7" ht="12">
      <c r="B88" s="23">
        <v>78</v>
      </c>
      <c r="C88" s="25" t="s">
        <v>208</v>
      </c>
      <c r="D88" s="25" t="s">
        <v>209</v>
      </c>
      <c r="E88" s="26">
        <v>3.42</v>
      </c>
      <c r="F88" s="27">
        <v>648.31</v>
      </c>
      <c r="G88" s="28">
        <f>E88*F88</f>
        <v>2217.2201999999997</v>
      </c>
    </row>
    <row r="89" spans="2:7" ht="24">
      <c r="B89" s="24">
        <v>79</v>
      </c>
      <c r="C89" s="7" t="s">
        <v>210</v>
      </c>
      <c r="D89" s="7" t="s">
        <v>209</v>
      </c>
      <c r="E89" s="12">
        <v>2.95</v>
      </c>
      <c r="F89" s="14">
        <v>676.47</v>
      </c>
      <c r="G89" s="29">
        <f>E89*F89</f>
        <v>1995.5865000000001</v>
      </c>
    </row>
    <row r="90" spans="2:7" ht="12">
      <c r="B90" s="52" t="s">
        <v>143</v>
      </c>
      <c r="C90" s="53"/>
      <c r="D90" s="53"/>
      <c r="E90" s="53"/>
      <c r="F90" s="54"/>
      <c r="G90" s="30">
        <f>SUM(G88:G89)</f>
        <v>4212.8067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86:F86"/>
    <mergeCell ref="B87:G87"/>
    <mergeCell ref="B90:F90"/>
    <mergeCell ref="B1:G1"/>
    <mergeCell ref="B4:G4"/>
    <mergeCell ref="B30:F30"/>
    <mergeCell ref="B31:G31"/>
    <mergeCell ref="B75:F75"/>
    <mergeCell ref="B76:G76"/>
  </mergeCells>
  <printOptions/>
  <pageMargins left="0.35" right="0.35" top="0.35" bottom="0.35" header="0.3" footer="0.3"/>
  <pageSetup fitToHeight="0" fitToWidth="1" horizontalDpi="600" verticalDpi="600" orientation="portrait" paperSize="9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Ð¡Ð¼ÐµÑ‚Ð° Ñ€Ð°ÑÑ…Ð¾Ð´Ð¾Ð²</dc:title>
  <dc:subject>Ð¡Ð¼ÐµÑ‚Ð° Ñ€Ð°ÑÑ…Ð¾Ð´Ð¾Ð²</dc:subject>
  <dc:creator>ÐœÐšÐ”-Ñ€Ð°ÑÑ‡ÐµÑ‚. Ð¦ÐµÐ½Ñ‚Ñ€ Ð¼ÑƒÐ½Ð¸Ñ†Ð¸Ð¿Ð°Ð»ÑŒÐ½Ð¾Ð¹ ÑÐºÐ¾Ð½Ð¾Ð¼Ð¸ÐºÐ¸ Ð¸ Ð¿Ñ€Ð°Ð²Ð°</dc:creator>
  <cp:keywords>ÑÐ¼ÐµÑ‚Ð° Ñ€Ð°ÑÑ‡ÐµÑ‚ Ð¶ÐºÑ…</cp:keywords>
  <dc:description>Ð¡Ð¼ÐµÑ‚Ð° Ñ€Ð°ÑÑ…Ð¾Ð´Ð¾Ð² Ð²ÐºÐ»ÑŽÑ‡Ð°ÐµÑ‚ Ð¿ÐµÑ€ÐµÑ‡ÐµÐ½ÑŒ Ñ€Ð°Ð±Ð¾Ñ‚ Ð¸ Ð¿ÐµÑ€ÐµÑ‡ÐµÐ½ÑŒ Ñ€ÐµÑÑƒÑ€ÑÐ¾Ð²</dc:description>
  <cp:lastModifiedBy>1</cp:lastModifiedBy>
  <cp:lastPrinted>2019-04-18T12:06:43Z</cp:lastPrinted>
  <dcterms:created xsi:type="dcterms:W3CDTF">2019-01-29T12:17:16Z</dcterms:created>
  <dcterms:modified xsi:type="dcterms:W3CDTF">2019-04-18T12:06:49Z</dcterms:modified>
  <cp:category>ÑÐ¼ÐµÑ‚Ð°</cp:category>
  <cp:version/>
  <cp:contentType/>
  <cp:contentStatus/>
</cp:coreProperties>
</file>