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660" windowHeight="5370" activeTab="0"/>
  </bookViews>
  <sheets>
    <sheet name="Работы" sheetId="1" r:id="rId1"/>
    <sheet name="Ресурсы" sheetId="2" r:id="rId2"/>
  </sheets>
  <definedNames>
    <definedName name="_xlnm.Print_Titles" localSheetId="0">'Работы'!$3:$3</definedName>
    <definedName name="_xlnm.Print_Titles" localSheetId="1">'Ресурсы'!$3:$3</definedName>
  </definedNames>
  <calcPr fullCalcOnLoad="1"/>
</workbook>
</file>

<file path=xl/sharedStrings.xml><?xml version="1.0" encoding="utf-8"?>
<sst xmlns="http://schemas.openxmlformats.org/spreadsheetml/2006/main" count="250" uniqueCount="182">
  <si>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</si>
  <si>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</si>
  <si>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</si>
  <si>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</si>
  <si>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</si>
  <si>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</si>
  <si>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</si>
  <si>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</si>
  <si>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</si>
  <si>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</si>
  <si>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Расходы на управ., руб.</t>
  </si>
  <si>
    <t>Стоимость, руб.</t>
  </si>
  <si>
    <t>Стоимость на кв.м. в мес., руб.</t>
  </si>
  <si>
    <t>Общ. площ.,кв.м.</t>
  </si>
  <si>
    <t>Внутридомовое инженерное оборудование и технические устройства</t>
  </si>
  <si>
    <t>Устранение засоров внутренних канализационных трубопроводов</t>
  </si>
  <si>
    <t>100 м трубы</t>
  </si>
  <si>
    <t>Техническое обслуживание внутридомовых газопроводов диаметром 25-50 мм</t>
  </si>
  <si>
    <t>100 пог. м.</t>
  </si>
  <si>
    <t>Техническое  обслуживание электрического  запирающего устройства (домофон)</t>
  </si>
  <si>
    <t>1 устройство</t>
  </si>
  <si>
    <t>Укрепление водосточных труб, колен, воронок с лестниц или подмостей</t>
  </si>
  <si>
    <t>1 ухват</t>
  </si>
  <si>
    <t>Осмотр территории вокруг здания и фундамента</t>
  </si>
  <si>
    <t>1000 кв.м. общей площади</t>
  </si>
  <si>
    <t>Осмотр железобетонных перекрытий</t>
  </si>
  <si>
    <t>1000 кв.м. полов</t>
  </si>
  <si>
    <t>Осмотр железобетонных покрытий</t>
  </si>
  <si>
    <t>Осмотр внутренней отделки стен</t>
  </si>
  <si>
    <t>Осмотр заполнения дверных и оконных проемов</t>
  </si>
  <si>
    <t>Осмотр всех элементов стальных кровель, водостоков</t>
  </si>
  <si>
    <t>1000 кв.м. кровли</t>
  </si>
  <si>
    <t>Проверка исправности  канализационных  вытяжек</t>
  </si>
  <si>
    <t>Проверка наличия тяги в  дымовентиляционных каналах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</si>
  <si>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</si>
  <si>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</si>
  <si>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100 лестничных площадок</t>
  </si>
  <si>
    <t>Проверка изоляции электропроводки и ее укрепление</t>
  </si>
  <si>
    <t>100 м</t>
  </si>
  <si>
    <t>Проверка заземления оболочки электрокабеля</t>
  </si>
  <si>
    <t>Замеры сопротивления изоляции проводов</t>
  </si>
  <si>
    <t xml:space="preserve">измерение 1         </t>
  </si>
  <si>
    <t>Визуальный осмотр узла учета и проверка наличия и нарушения пломб (прибор учета воды диаметром 25-40 мм)</t>
  </si>
  <si>
    <t>1 прибор учета</t>
  </si>
  <si>
    <t>Проверка работоспособности запорной арматуры и очистка фильтров (приборов учета воды диаметром 25-40 мм)</t>
  </si>
  <si>
    <t>1 фильтр</t>
  </si>
  <si>
    <t>При отказе или неисправной работе прибора учета воды диаметром 25-40 мм - поиск неисправностей</t>
  </si>
  <si>
    <t>Итого по разделу:</t>
  </si>
  <si>
    <t>Санитарное содержание мест общего пользования, благоустройство придомовой территории и прочие работы</t>
  </si>
  <si>
    <t>Подметание лестничных площадок и маршей нижних трех этажей с предварительным их увлажнением (в доме без лифтов и мусоропровода)</t>
  </si>
  <si>
    <t>100 м2 убираемой  площади</t>
  </si>
  <si>
    <t>Протирка пыли  с подоконников в помещениях общего  пользования</t>
  </si>
  <si>
    <t xml:space="preserve">100 м2 подоконников </t>
  </si>
  <si>
    <t>Мытье и протирка дверей  в помещениях общего пользования</t>
  </si>
  <si>
    <t>100 м2 дверей</t>
  </si>
  <si>
    <t>Мытье и протирка оконных рам и переплетов в помещениях общего пользования</t>
  </si>
  <si>
    <t>100 м2 оконных рам</t>
  </si>
  <si>
    <t>Мытье и протирка легкодоступных стекол в окнах  в помещениях общего пользования</t>
  </si>
  <si>
    <t>100 м2 окон</t>
  </si>
  <si>
    <t>Влажная протирка почтовых ящиков (с моющим средством)</t>
  </si>
  <si>
    <t>100 кв.м почтовых ящиков</t>
  </si>
  <si>
    <t>Влажная протирка шкафов для электросчетчиков слаботочных устройств  (с моющим средством)</t>
  </si>
  <si>
    <t>100 кв. м шкафов для электросчетчиков слаботочных устройств</t>
  </si>
  <si>
    <t>Влажная протирка перил лестниц (с моющим средством)</t>
  </si>
  <si>
    <t>100 кв.м. перил лестниц</t>
  </si>
  <si>
    <t>Влажная протирка стен (с моющим средством)</t>
  </si>
  <si>
    <t>100 кв. м стен</t>
  </si>
  <si>
    <t>Обметание пыли с потолков</t>
  </si>
  <si>
    <t>100 кв. м. потолков</t>
  </si>
  <si>
    <t>Подметание в летний период  земельного участка с усовершенствованным покрытием 1 класса</t>
  </si>
  <si>
    <t>1 000 кв.м. территории</t>
  </si>
  <si>
    <t>Уборка детских и спортивных площадок</t>
  </si>
  <si>
    <t>1000 кв.м.</t>
  </si>
  <si>
    <t>Ремонт скамьи без спинки с металлическими опорами (скамьи чугунной со спинкой)</t>
  </si>
  <si>
    <t>скамья</t>
  </si>
  <si>
    <t>Сдвижка и подметание снега при отсутствии снегопада на придомовой территории с усовершенствованным покрытием 1 класса</t>
  </si>
  <si>
    <t>10 000 кв.м. территории</t>
  </si>
  <si>
    <t>Очистка от наледи и льда водосточных труб</t>
  </si>
  <si>
    <t>1 шт</t>
  </si>
  <si>
    <t>Очистка кровли от снега, сбивание сосулек (при толщине слоя до 10 см)</t>
  </si>
  <si>
    <t>100 кв.м. кровли</t>
  </si>
  <si>
    <t>Очистка кровли от мусора, листьев</t>
  </si>
  <si>
    <t>100 кв.м кровли</t>
  </si>
  <si>
    <t>Уборка крыльца и площадки перед входом в подъезд (в холодный период года)</t>
  </si>
  <si>
    <t>100 кв.м</t>
  </si>
  <si>
    <t>Уборка крыльца и площадки перед входом в подъезд (в теплый период года)</t>
  </si>
  <si>
    <t>Мытье ступеней и площадок перед входом в подъезд</t>
  </si>
  <si>
    <t>Дератизация чердаков и подвалов с применением готовой приманки</t>
  </si>
  <si>
    <t>1000 м2  обрабатываемых  помещений</t>
  </si>
  <si>
    <t>ИТОГО ПО СМЕТЕ:</t>
  </si>
  <si>
    <t>ИТОГО ПО СМЕТЕ</t>
  </si>
  <si>
    <t>Трудовые ресурсы, руб.:</t>
  </si>
  <si>
    <t>Накладные расходы, руб.:</t>
  </si>
  <si>
    <t>Материальные ресурсы, руб.:</t>
  </si>
  <si>
    <t>Прибыль, руб.:</t>
  </si>
  <si>
    <t>Машины/механизмы, руб.:</t>
  </si>
  <si>
    <t>Расходы на управление, руб.:</t>
  </si>
  <si>
    <t>ИТОГО, руб.:</t>
  </si>
  <si>
    <t>Смета расходов. Стоимость и количество ресурсов.</t>
  </si>
  <si>
    <t>Ресурс</t>
  </si>
  <si>
    <t>Ед. измерения</t>
  </si>
  <si>
    <t>Цена, руб.</t>
  </si>
  <si>
    <t>Трудовые ресурсы</t>
  </si>
  <si>
    <t>Бетонщик 4 разряда</t>
  </si>
  <si>
    <t>чел.-час</t>
  </si>
  <si>
    <t>Дворник 1 разряда</t>
  </si>
  <si>
    <t>Дезинфектор 3 разряда</t>
  </si>
  <si>
    <t>Каменщик 3 разряда</t>
  </si>
  <si>
    <t>Кровельщик по стальным кровлям 2 разряда</t>
  </si>
  <si>
    <t>Кровельщик по стальным кровлям 3 разряда</t>
  </si>
  <si>
    <t>Кровельщик по стальным кровлям 4 разряда</t>
  </si>
  <si>
    <t>Монтажник санитарно-технических систем и оборудования 4 разряда</t>
  </si>
  <si>
    <t>Наладчик контрольно-измерительных приборов и автоматики 4 разряда</t>
  </si>
  <si>
    <t>Плотник 2 разряда</t>
  </si>
  <si>
    <t>Подсобный рабочий 1 разряда</t>
  </si>
  <si>
    <t>Рабочий по комплексному обслуживанию и ремонту зданий 2 разряда</t>
  </si>
  <si>
    <t>Рабочий по комплексному обслуживанию и ремонту зданий 4 разряда</t>
  </si>
  <si>
    <t>Слесарь по эксплуатации и ремонту газового оборудования 2 разряда</t>
  </si>
  <si>
    <t>Слесарь по эксплуатации и ремонту газового оборудования 3 разряда</t>
  </si>
  <si>
    <t>Слесарь-ремонтник 3 разряда</t>
  </si>
  <si>
    <t>Слесарь-сантехник 3 разряда</t>
  </si>
  <si>
    <t>Стеклопротирщик 2 разряда</t>
  </si>
  <si>
    <t>Столяр строительный 4 разряда</t>
  </si>
  <si>
    <t>Электрогазосварщик 2 разряда</t>
  </si>
  <si>
    <t>Электромонтер по ремонту и обслуживанию электрооборудования 3 разряда</t>
  </si>
  <si>
    <t>Электромонтер по ремонту и обслуживанию электрооборудования 4 разряда</t>
  </si>
  <si>
    <t>ИТОГО:</t>
  </si>
  <si>
    <t>Материальные ресурсы</t>
  </si>
  <si>
    <t>Ацетон технический, сорт первый</t>
  </si>
  <si>
    <t>т</t>
  </si>
  <si>
    <t>Болты с гайками и шайбами для санитарно-технических работ, диаметром 16 мм</t>
  </si>
  <si>
    <t>Бязь суровая арт. 6804</t>
  </si>
  <si>
    <t>10 м2</t>
  </si>
  <si>
    <t>Ветошь</t>
  </si>
  <si>
    <t>кг</t>
  </si>
  <si>
    <t>Винты самонарезающие СМ1-35</t>
  </si>
  <si>
    <t>Вода водопроводная</t>
  </si>
  <si>
    <t>м3</t>
  </si>
  <si>
    <t>Готовая приманка</t>
  </si>
  <si>
    <t>Доски обрезные длиной 4 - 6,5 м, шириной 75 - 150 мм,толщиной 25 мм II сорта</t>
  </si>
  <si>
    <t>Клей ALT</t>
  </si>
  <si>
    <t>Краски масляные и алкидные цветные, готовые к применению для наружных работ МА-15</t>
  </si>
  <si>
    <t>Краски масляные и алкидные, готовые к применению белила литопонные: МА-22</t>
  </si>
  <si>
    <t xml:space="preserve">Лента изоляционная прорезиненная односторонняя ширина 20 мм, толщина 0,25-0,35 мм </t>
  </si>
  <si>
    <t xml:space="preserve">Лента киперная </t>
  </si>
  <si>
    <t>Мешки полиэтиленовые, 60 л</t>
  </si>
  <si>
    <t>1000 шт.</t>
  </si>
  <si>
    <t>Моющее средство</t>
  </si>
  <si>
    <t>Мыло</t>
  </si>
  <si>
    <t>Мыло твердое хозяйственное 72%</t>
  </si>
  <si>
    <t>шт.</t>
  </si>
  <si>
    <t>Мыльный раствор</t>
  </si>
  <si>
    <t>л</t>
  </si>
  <si>
    <t>Олифа комбинированная К-3</t>
  </si>
  <si>
    <t>Пробки деревянные 100 мм, длина 100 мм</t>
  </si>
  <si>
    <t>Проволока светлая диаметром 3,0 мм</t>
  </si>
  <si>
    <t>Раствор готовый кладочный цементный М25</t>
  </si>
  <si>
    <t>Резина листовая вулканизованная цветная</t>
  </si>
  <si>
    <t>Смазка солидол жировой Ж</t>
  </si>
  <si>
    <t xml:space="preserve">Спирт этиловый ректификованный технический, сорт I </t>
  </si>
  <si>
    <t>Ткань мешочная</t>
  </si>
  <si>
    <t>Трубы стальные сварные водогазопроводные с резьбой черные обыкновенные (неоцинкованные) диаметр условного прохода 80 мм, толщина стенки 4 мм</t>
  </si>
  <si>
    <t>м</t>
  </si>
  <si>
    <t>Ухват (стремена, кронштейн, держатель) для водосточных труб</t>
  </si>
  <si>
    <t>Хомут для крепления траверс окрашенный (применяется вместо п.2)</t>
  </si>
  <si>
    <t>Электроды диаметром 6 мм Э42</t>
  </si>
  <si>
    <t>Специнвентарь</t>
  </si>
  <si>
    <t>Ведро  оцинкованное, 12 л</t>
  </si>
  <si>
    <t xml:space="preserve">Веник обыкновенный </t>
  </si>
  <si>
    <t>Лопата совковая</t>
  </si>
  <si>
    <t>Лопата штыковая</t>
  </si>
  <si>
    <t>Метла березовая</t>
  </si>
  <si>
    <t>Скребок-ледоруб</t>
  </si>
  <si>
    <t>Совок металлический</t>
  </si>
  <si>
    <t>Щетка д/пола 280 мм с черенком на резьбе 1,2 м.</t>
  </si>
  <si>
    <t xml:space="preserve">Щетка для мытья окон </t>
  </si>
  <si>
    <t>Смета расходов на содержание общего имущества многоквартирного дома</t>
  </si>
  <si>
    <t>Заместитель главы</t>
  </si>
  <si>
    <t>Новокубанского городского</t>
  </si>
  <si>
    <t>поселения Новокубанского района</t>
  </si>
  <si>
    <t>А.В. Кузьмин</t>
  </si>
  <si>
    <t>Лот № 1 - МКД по Большевистская 39 в г. Новокубанске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</si>
</sst>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9"/>
      <color indexed="8"/>
      <name val="Arial"/>
      <family val="0"/>
    </font>
    <font>
      <b/>
      <sz val="18"/>
      <color indexed="10"/>
      <name val="Arial"/>
      <family val="0"/>
    </font>
    <font>
      <b/>
      <sz val="10"/>
      <color indexed="9"/>
      <name val="Arial"/>
      <family val="0"/>
    </font>
    <font>
      <b/>
      <sz val="14"/>
      <color indexed="12"/>
      <name val="Arial"/>
      <family val="0"/>
    </font>
    <font>
      <b/>
      <sz val="11"/>
      <color indexed="13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4"/>
      <color indexed="13"/>
      <name val="Arial"/>
      <family val="0"/>
    </font>
    <font>
      <b/>
      <sz val="18"/>
      <color indexed="17"/>
      <name val="Courier"/>
      <family val="0"/>
    </font>
    <font>
      <b/>
      <sz val="10"/>
      <color indexed="9"/>
      <name val="Courier"/>
      <family val="0"/>
    </font>
    <font>
      <b/>
      <sz val="12"/>
      <color indexed="17"/>
      <name val="Courier"/>
      <family val="0"/>
    </font>
    <font>
      <b/>
      <sz val="9"/>
      <color indexed="17"/>
      <name val="Arial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56"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4" fontId="0" fillId="0" borderId="13" xfId="0" applyNumberFormat="1" applyFill="1" applyBorder="1" applyAlignment="1" applyProtection="1">
      <alignment horizontal="right" vertical="center" wrapText="1"/>
      <protection/>
    </xf>
    <xf numFmtId="4" fontId="0" fillId="0" borderId="14" xfId="0" applyNumberFormat="1" applyFill="1" applyBorder="1" applyAlignment="1" applyProtection="1">
      <alignment horizontal="right" vertical="center" wrapText="1"/>
      <protection/>
    </xf>
    <xf numFmtId="4" fontId="7" fillId="34" borderId="17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right" vertical="center" wrapText="1"/>
      <protection/>
    </xf>
    <xf numFmtId="4" fontId="0" fillId="0" borderId="18" xfId="0" applyNumberFormat="1" applyFill="1" applyBorder="1" applyAlignment="1" applyProtection="1">
      <alignment horizontal="right" vertical="center" wrapText="1"/>
      <protection/>
    </xf>
    <xf numFmtId="4" fontId="0" fillId="0" borderId="19" xfId="0" applyNumberFormat="1" applyFill="1" applyBorder="1" applyAlignment="1" applyProtection="1">
      <alignment horizontal="right" vertical="center" wrapText="1"/>
      <protection/>
    </xf>
    <xf numFmtId="4" fontId="0" fillId="0" borderId="20" xfId="0" applyNumberFormat="1" applyFill="1" applyBorder="1" applyAlignment="1" applyProtection="1">
      <alignment horizontal="right" vertical="center" wrapText="1"/>
      <protection/>
    </xf>
    <xf numFmtId="4" fontId="6" fillId="35" borderId="21" xfId="0" applyNumberFormat="1" applyFont="1" applyFill="1" applyBorder="1" applyAlignment="1" applyProtection="1">
      <alignment horizontal="right" vertical="center" wrapText="1"/>
      <protection/>
    </xf>
    <xf numFmtId="4" fontId="6" fillId="35" borderId="22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left" vertical="center" wrapText="1"/>
      <protection/>
    </xf>
    <xf numFmtId="0" fontId="10" fillId="36" borderId="23" xfId="0" applyFont="1" applyFill="1" applyBorder="1" applyAlignment="1" applyProtection="1">
      <alignment horizontal="center" vertical="center" wrapText="1"/>
      <protection/>
    </xf>
    <xf numFmtId="0" fontId="10" fillId="36" borderId="24" xfId="0" applyFont="1" applyFill="1" applyBorder="1" applyAlignment="1" applyProtection="1">
      <alignment horizontal="center" vertical="center" wrapText="1"/>
      <protection/>
    </xf>
    <xf numFmtId="0" fontId="10" fillId="36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left" vertical="center" wrapText="1"/>
      <protection/>
    </xf>
    <xf numFmtId="0" fontId="0" fillId="0" borderId="28" xfId="0" applyFill="1" applyBorder="1" applyAlignment="1" applyProtection="1">
      <alignment horizontal="right" vertical="center" wrapText="1"/>
      <protection/>
    </xf>
    <xf numFmtId="4" fontId="0" fillId="0" borderId="28" xfId="0" applyNumberFormat="1" applyFill="1" applyBorder="1" applyAlignment="1" applyProtection="1">
      <alignment horizontal="right" vertical="center" wrapText="1"/>
      <protection/>
    </xf>
    <xf numFmtId="4" fontId="0" fillId="0" borderId="29" xfId="0" applyNumberFormat="1" applyFill="1" applyBorder="1" applyAlignment="1" applyProtection="1">
      <alignment horizontal="right" vertical="center" wrapText="1"/>
      <protection/>
    </xf>
    <xf numFmtId="4" fontId="0" fillId="0" borderId="30" xfId="0" applyNumberFormat="1" applyFill="1" applyBorder="1" applyAlignment="1" applyProtection="1">
      <alignment horizontal="right" vertical="center" wrapText="1"/>
      <protection/>
    </xf>
    <xf numFmtId="4" fontId="12" fillId="0" borderId="31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4" fontId="4" fillId="0" borderId="0" xfId="0" applyNumberFormat="1" applyFont="1" applyFill="1" applyAlignment="1" applyProtection="1">
      <alignment horizontal="left" vertical="center" wrapText="1"/>
      <protection/>
    </xf>
    <xf numFmtId="0" fontId="6" fillId="34" borderId="32" xfId="0" applyFont="1" applyFill="1" applyBorder="1" applyAlignment="1" applyProtection="1">
      <alignment horizontal="left" vertical="center" wrapText="1"/>
      <protection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5" borderId="33" xfId="0" applyFont="1" applyFill="1" applyBorder="1" applyAlignment="1" applyProtection="1">
      <alignment horizontal="right" vertical="center" wrapText="1"/>
      <protection/>
    </xf>
    <xf numFmtId="0" fontId="6" fillId="35" borderId="21" xfId="0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left" vertical="center" wrapText="1"/>
      <protection/>
    </xf>
    <xf numFmtId="4" fontId="4" fillId="0" borderId="0" xfId="0" applyNumberFormat="1" applyFont="1" applyFill="1" applyAlignment="1" applyProtection="1">
      <alignment horizontal="right" vertical="center" wrapText="1"/>
      <protection/>
    </xf>
    <xf numFmtId="0" fontId="5" fillId="37" borderId="35" xfId="0" applyFont="1" applyFill="1" applyBorder="1" applyAlignment="1" applyProtection="1">
      <alignment horizontal="left" vertical="center" wrapText="1"/>
      <protection/>
    </xf>
    <xf numFmtId="0" fontId="5" fillId="37" borderId="36" xfId="0" applyFont="1" applyFill="1" applyBorder="1" applyAlignment="1" applyProtection="1">
      <alignment horizontal="left" vertical="center" wrapText="1"/>
      <protection/>
    </xf>
    <xf numFmtId="4" fontId="5" fillId="37" borderId="36" xfId="0" applyNumberFormat="1" applyFont="1" applyFill="1" applyBorder="1" applyAlignment="1" applyProtection="1">
      <alignment horizontal="left" vertical="center" wrapText="1"/>
      <protection/>
    </xf>
    <xf numFmtId="4" fontId="5" fillId="37" borderId="37" xfId="0" applyNumberFormat="1" applyFont="1" applyFill="1" applyBorder="1" applyAlignment="1" applyProtection="1">
      <alignment horizontal="left" vertical="center" wrapText="1"/>
      <protection/>
    </xf>
    <xf numFmtId="0" fontId="12" fillId="0" borderId="38" xfId="0" applyFont="1" applyFill="1" applyBorder="1" applyAlignment="1" applyProtection="1">
      <alignment horizontal="left" vertical="center" wrapText="1"/>
      <protection/>
    </xf>
    <xf numFmtId="0" fontId="12" fillId="0" borderId="39" xfId="0" applyFont="1" applyFill="1" applyBorder="1" applyAlignment="1" applyProtection="1">
      <alignment horizontal="left" vertical="center" wrapText="1"/>
      <protection/>
    </xf>
    <xf numFmtId="4" fontId="12" fillId="0" borderId="39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7474F"/>
      <rgbColor rgb="00546E7A"/>
      <rgbColor rgb="00E65100"/>
      <rgbColor rgb="00455A64"/>
      <rgbColor rgb="00CFD8DC"/>
      <rgbColor rgb="00ECEFF1"/>
      <rgbColor rgb="00FFE0B2"/>
      <rgbColor rgb="00600000"/>
      <rgbColor rgb="004682B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4"/>
  <sheetViews>
    <sheetView tabSelected="1" workbookViewId="0" topLeftCell="B13">
      <selection activeCell="D9" sqref="D9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50.00390625" style="0" customWidth="1"/>
    <col min="4" max="4" width="18.00390625" style="0" customWidth="1"/>
    <col min="5" max="5" width="15.00390625" style="0" customWidth="1"/>
    <col min="6" max="6" width="12.00390625" style="0" customWidth="1"/>
    <col min="7" max="12" width="13.00390625" style="0" customWidth="1"/>
    <col min="13" max="13" width="15.00390625" style="0" customWidth="1"/>
    <col min="14" max="14" width="18.57421875" style="0" customWidth="1"/>
  </cols>
  <sheetData>
    <row r="1" spans="2:14" ht="23.25">
      <c r="B1" s="44" t="s">
        <v>176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1"/>
    </row>
    <row r="3" spans="2:14" ht="54.75" customHeight="1"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4" t="s">
        <v>12</v>
      </c>
    </row>
    <row r="4" spans="2:14" ht="24.75" customHeight="1">
      <c r="B4" s="45" t="s">
        <v>181</v>
      </c>
      <c r="C4" s="37"/>
      <c r="D4" s="37"/>
      <c r="E4" s="37"/>
      <c r="F4" s="37"/>
      <c r="G4" s="46"/>
      <c r="H4" s="46"/>
      <c r="I4" s="46"/>
      <c r="J4" s="46"/>
      <c r="K4" s="46"/>
      <c r="L4" s="47" t="s">
        <v>13</v>
      </c>
      <c r="M4" s="47"/>
      <c r="N4" s="16">
        <v>1496</v>
      </c>
    </row>
    <row r="5" spans="2:14" ht="21.75" customHeight="1">
      <c r="B5" s="48" t="s">
        <v>14</v>
      </c>
      <c r="C5" s="49"/>
      <c r="D5" s="49"/>
      <c r="E5" s="49"/>
      <c r="F5" s="49"/>
      <c r="G5" s="50"/>
      <c r="H5" s="50"/>
      <c r="I5" s="50"/>
      <c r="J5" s="50"/>
      <c r="K5" s="50"/>
      <c r="L5" s="50"/>
      <c r="M5" s="50"/>
      <c r="N5" s="51"/>
    </row>
    <row r="6" spans="2:14" ht="24">
      <c r="B6" s="8">
        <v>1</v>
      </c>
      <c r="C6" s="6" t="s">
        <v>15</v>
      </c>
      <c r="D6" s="6" t="s">
        <v>16</v>
      </c>
      <c r="E6" s="10">
        <v>1</v>
      </c>
      <c r="F6" s="10">
        <v>1</v>
      </c>
      <c r="G6" s="13">
        <f>2489.852*E6*F6</f>
        <v>2489.852</v>
      </c>
      <c r="H6" s="13">
        <f>1045.33266*E6*F6</f>
        <v>1045.33266</v>
      </c>
      <c r="I6" s="13">
        <f aca="true" t="shared" si="0" ref="I6:I25">0*E6*F6</f>
        <v>0</v>
      </c>
      <c r="J6" s="13">
        <f>1742.8964*E6*F6</f>
        <v>1742.8964</v>
      </c>
      <c r="K6" s="13">
        <f>554.1985113*E6*F6</f>
        <v>554.1985113</v>
      </c>
      <c r="L6" s="13">
        <f>248.9852*E6*F6</f>
        <v>248.9852</v>
      </c>
      <c r="M6" s="13">
        <f aca="true" t="shared" si="1" ref="M6:M25">SUM(G6:L6)</f>
        <v>6081.264771300001</v>
      </c>
      <c r="N6" s="17">
        <f>IF(N4&gt;0,(M6/$N$4/12),0)</f>
        <v>0.33875137986296794</v>
      </c>
    </row>
    <row r="7" spans="2:14" ht="24">
      <c r="B7" s="9">
        <v>2</v>
      </c>
      <c r="C7" s="7" t="s">
        <v>17</v>
      </c>
      <c r="D7" s="7" t="s">
        <v>18</v>
      </c>
      <c r="E7" s="11">
        <v>1</v>
      </c>
      <c r="F7" s="11">
        <v>1</v>
      </c>
      <c r="G7" s="14">
        <f>1486.611*E7*F7</f>
        <v>1486.611</v>
      </c>
      <c r="H7" s="14">
        <f>623.50861008*E7*F7</f>
        <v>623.50861008</v>
      </c>
      <c r="I7" s="14">
        <f t="shared" si="0"/>
        <v>0</v>
      </c>
      <c r="J7" s="14">
        <f>1040.6277*E7*F7</f>
        <v>1040.6277</v>
      </c>
      <c r="K7" s="14">
        <f>330.8284675584*E7*F7</f>
        <v>330.8284675584</v>
      </c>
      <c r="L7" s="14">
        <f>148.6611*E7*F7</f>
        <v>148.6611</v>
      </c>
      <c r="M7" s="14">
        <f t="shared" si="1"/>
        <v>3630.2368776384</v>
      </c>
      <c r="N7" s="18">
        <f>IF(N4&gt;0,(M7/$N$4/12),0)</f>
        <v>0.20221907740855616</v>
      </c>
    </row>
    <row r="8" spans="2:14" ht="24">
      <c r="B8" s="9">
        <v>3</v>
      </c>
      <c r="C8" s="7" t="s">
        <v>19</v>
      </c>
      <c r="D8" s="7" t="s">
        <v>20</v>
      </c>
      <c r="E8" s="11">
        <v>1</v>
      </c>
      <c r="F8" s="11">
        <v>1</v>
      </c>
      <c r="G8" s="14">
        <f>221.868*E8*F8</f>
        <v>221.868</v>
      </c>
      <c r="H8" s="14">
        <f>1.652158752*E8*F8</f>
        <v>1.652158752</v>
      </c>
      <c r="I8" s="14">
        <f t="shared" si="0"/>
        <v>0</v>
      </c>
      <c r="J8" s="14">
        <f>155.3076*E8*F8</f>
        <v>155.3076</v>
      </c>
      <c r="K8" s="14">
        <f>39.77691466896*E8*F8</f>
        <v>39.77691466896</v>
      </c>
      <c r="L8" s="14">
        <f>22.1868*E8*F8</f>
        <v>22.1868</v>
      </c>
      <c r="M8" s="14">
        <f t="shared" si="1"/>
        <v>440.79147342096</v>
      </c>
      <c r="N8" s="18">
        <f>IF(N4&gt;0,(M8/$N$4/12),0)</f>
        <v>0.024553892236016044</v>
      </c>
    </row>
    <row r="9" spans="2:14" ht="24">
      <c r="B9" s="9">
        <v>4</v>
      </c>
      <c r="C9" s="7" t="s">
        <v>21</v>
      </c>
      <c r="D9" s="7" t="s">
        <v>22</v>
      </c>
      <c r="E9" s="11">
        <v>1</v>
      </c>
      <c r="F9" s="11">
        <v>1</v>
      </c>
      <c r="G9" s="14">
        <f>33.8223682398*E9*F9</f>
        <v>33.8223682398</v>
      </c>
      <c r="H9" s="14">
        <f>295.25797671312*E9*F9</f>
        <v>295.25797671312</v>
      </c>
      <c r="I9" s="14">
        <f t="shared" si="0"/>
        <v>0</v>
      </c>
      <c r="J9" s="14">
        <f>23.67565776786*E9*F9</f>
        <v>23.67565776786</v>
      </c>
      <c r="K9" s="14">
        <f>37.039380285682*E9*F9</f>
        <v>37.039380285682</v>
      </c>
      <c r="L9" s="14">
        <f>3.38223682398*E9*F9</f>
        <v>3.38223682398</v>
      </c>
      <c r="M9" s="14">
        <f t="shared" si="1"/>
        <v>393.177619830442</v>
      </c>
      <c r="N9" s="18">
        <f>IF(N4&gt;0,(M9/$N$4/12),0)</f>
        <v>0.021901605382711787</v>
      </c>
    </row>
    <row r="10" spans="2:14" ht="24">
      <c r="B10" s="9">
        <v>5</v>
      </c>
      <c r="C10" s="7" t="s">
        <v>23</v>
      </c>
      <c r="D10" s="7" t="s">
        <v>24</v>
      </c>
      <c r="E10" s="11">
        <v>1</v>
      </c>
      <c r="F10" s="11">
        <v>2</v>
      </c>
      <c r="G10" s="14">
        <f>96.1428*E10*F10</f>
        <v>192.2856</v>
      </c>
      <c r="H10" s="14">
        <f aca="true" t="shared" si="2" ref="H10:H19">0*E10*F10</f>
        <v>0</v>
      </c>
      <c r="I10" s="14">
        <f t="shared" si="0"/>
        <v>0</v>
      </c>
      <c r="J10" s="14">
        <f>67.29996*E10*F10</f>
        <v>134.59992</v>
      </c>
      <c r="K10" s="14">
        <f>17.1614898*E10*F10</f>
        <v>34.3229796</v>
      </c>
      <c r="L10" s="14">
        <f>9.61428*E10*F10</f>
        <v>19.22856</v>
      </c>
      <c r="M10" s="14">
        <f t="shared" si="1"/>
        <v>380.4370596</v>
      </c>
      <c r="N10" s="18">
        <f>IF(N4&gt;0,(M10/$N$4/12),0)</f>
        <v>0.02119190394385027</v>
      </c>
    </row>
    <row r="11" spans="2:14" ht="12">
      <c r="B11" s="9">
        <v>6</v>
      </c>
      <c r="C11" s="7" t="s">
        <v>25</v>
      </c>
      <c r="D11" s="7" t="s">
        <v>26</v>
      </c>
      <c r="E11" s="11">
        <v>1</v>
      </c>
      <c r="F11" s="11">
        <v>2</v>
      </c>
      <c r="G11" s="14">
        <f>380.8874*E11*F11</f>
        <v>761.7748</v>
      </c>
      <c r="H11" s="14">
        <f t="shared" si="2"/>
        <v>0</v>
      </c>
      <c r="I11" s="14">
        <f t="shared" si="0"/>
        <v>0</v>
      </c>
      <c r="J11" s="14">
        <f>266.62118*E11*F11</f>
        <v>533.24236</v>
      </c>
      <c r="K11" s="14">
        <f>67.9884009*E11*F11</f>
        <v>135.9768018</v>
      </c>
      <c r="L11" s="14">
        <f>38.08874*E11*F11</f>
        <v>76.17748</v>
      </c>
      <c r="M11" s="14">
        <f t="shared" si="1"/>
        <v>1507.1714418</v>
      </c>
      <c r="N11" s="18">
        <f>IF(N4&gt;0,(M11/$N$4/12),0)</f>
        <v>0.08395562844251336</v>
      </c>
    </row>
    <row r="12" spans="2:14" ht="12">
      <c r="B12" s="9">
        <v>7</v>
      </c>
      <c r="C12" s="7" t="s">
        <v>27</v>
      </c>
      <c r="D12" s="7" t="s">
        <v>26</v>
      </c>
      <c r="E12" s="11">
        <v>1</v>
      </c>
      <c r="F12" s="11">
        <v>2</v>
      </c>
      <c r="G12" s="14">
        <f>311.3824*E12*F12</f>
        <v>622.7648</v>
      </c>
      <c r="H12" s="14">
        <f t="shared" si="2"/>
        <v>0</v>
      </c>
      <c r="I12" s="14">
        <f t="shared" si="0"/>
        <v>0</v>
      </c>
      <c r="J12" s="14">
        <f>217.96768*E12*F12</f>
        <v>435.93536</v>
      </c>
      <c r="K12" s="14">
        <f>55.5817584*E12*F12</f>
        <v>111.1635168</v>
      </c>
      <c r="L12" s="14">
        <f>31.13824*E12*F12</f>
        <v>62.27648</v>
      </c>
      <c r="M12" s="14">
        <f t="shared" si="1"/>
        <v>1232.1401568</v>
      </c>
      <c r="N12" s="18">
        <f>IF(N4&gt;0,(M12/$N$4/12),0)</f>
        <v>0.06863525828877005</v>
      </c>
    </row>
    <row r="13" spans="2:14" ht="24">
      <c r="B13" s="9">
        <v>8</v>
      </c>
      <c r="C13" s="7" t="s">
        <v>28</v>
      </c>
      <c r="D13" s="7" t="s">
        <v>24</v>
      </c>
      <c r="E13" s="11">
        <v>1</v>
      </c>
      <c r="F13" s="11">
        <v>2</v>
      </c>
      <c r="G13" s="14">
        <f>1112.08*E13*F13</f>
        <v>2224.16</v>
      </c>
      <c r="H13" s="14">
        <f t="shared" si="2"/>
        <v>0</v>
      </c>
      <c r="I13" s="14">
        <f t="shared" si="0"/>
        <v>0</v>
      </c>
      <c r="J13" s="14">
        <f>778.456*E13*F13</f>
        <v>1556.912</v>
      </c>
      <c r="K13" s="14">
        <f>198.50628*E13*F13</f>
        <v>397.01256</v>
      </c>
      <c r="L13" s="14">
        <f>111.208*E13*F13</f>
        <v>222.416</v>
      </c>
      <c r="M13" s="14">
        <f t="shared" si="1"/>
        <v>4400.50056</v>
      </c>
      <c r="N13" s="18">
        <f>IF(N4&gt;0,(M13/$N$4/12),0)</f>
        <v>0.24512592245989306</v>
      </c>
    </row>
    <row r="14" spans="2:14" ht="24">
      <c r="B14" s="9">
        <v>9</v>
      </c>
      <c r="C14" s="7" t="s">
        <v>29</v>
      </c>
      <c r="D14" s="7" t="s">
        <v>24</v>
      </c>
      <c r="E14" s="11">
        <v>1</v>
      </c>
      <c r="F14" s="11">
        <v>2</v>
      </c>
      <c r="G14" s="14">
        <f>834.06*E14*F14</f>
        <v>1668.12</v>
      </c>
      <c r="H14" s="14">
        <f t="shared" si="2"/>
        <v>0</v>
      </c>
      <c r="I14" s="14">
        <f t="shared" si="0"/>
        <v>0</v>
      </c>
      <c r="J14" s="14">
        <f>583.842*E14*F14</f>
        <v>1167.684</v>
      </c>
      <c r="K14" s="14">
        <f>148.87971*E14*F14</f>
        <v>297.75942</v>
      </c>
      <c r="L14" s="14">
        <f>83.406*E14*F14</f>
        <v>166.812</v>
      </c>
      <c r="M14" s="14">
        <f t="shared" si="1"/>
        <v>3300.37542</v>
      </c>
      <c r="N14" s="18">
        <f>IF(N4&gt;0,(M14/$N$4/12),0)</f>
        <v>0.18384444184491977</v>
      </c>
    </row>
    <row r="15" spans="2:14" ht="12">
      <c r="B15" s="9">
        <v>10</v>
      </c>
      <c r="C15" s="7" t="s">
        <v>30</v>
      </c>
      <c r="D15" s="7" t="s">
        <v>31</v>
      </c>
      <c r="E15" s="11">
        <v>1</v>
      </c>
      <c r="F15" s="11">
        <v>2</v>
      </c>
      <c r="G15" s="14">
        <f>834.06*E15*F15</f>
        <v>1668.12</v>
      </c>
      <c r="H15" s="14">
        <f t="shared" si="2"/>
        <v>0</v>
      </c>
      <c r="I15" s="14">
        <f t="shared" si="0"/>
        <v>0</v>
      </c>
      <c r="J15" s="14">
        <f>583.842*E15*F15</f>
        <v>1167.684</v>
      </c>
      <c r="K15" s="14">
        <f>148.87971*E15*F15</f>
        <v>297.75942</v>
      </c>
      <c r="L15" s="14">
        <f>83.406*E15*F15</f>
        <v>166.812</v>
      </c>
      <c r="M15" s="14">
        <f t="shared" si="1"/>
        <v>3300.37542</v>
      </c>
      <c r="N15" s="18">
        <f>IF(N4&gt;0,(M15/$N$4/12),0)</f>
        <v>0.18384444184491977</v>
      </c>
    </row>
    <row r="16" spans="2:14" ht="24">
      <c r="B16" s="9">
        <v>11</v>
      </c>
      <c r="C16" s="7" t="s">
        <v>32</v>
      </c>
      <c r="D16" s="7" t="s">
        <v>24</v>
      </c>
      <c r="E16" s="11">
        <v>1</v>
      </c>
      <c r="F16" s="11">
        <v>2</v>
      </c>
      <c r="G16" s="14">
        <f>1035.384*E16*F16</f>
        <v>2070.768</v>
      </c>
      <c r="H16" s="14">
        <f t="shared" si="2"/>
        <v>0</v>
      </c>
      <c r="I16" s="14">
        <f t="shared" si="0"/>
        <v>0</v>
      </c>
      <c r="J16" s="14">
        <f>724.7688*E16*F16</f>
        <v>1449.5376</v>
      </c>
      <c r="K16" s="14">
        <f>184.816044*E16*F16</f>
        <v>369.632088</v>
      </c>
      <c r="L16" s="14">
        <f>103.5384*E16*F16</f>
        <v>207.0768</v>
      </c>
      <c r="M16" s="14">
        <f t="shared" si="1"/>
        <v>4097.014488</v>
      </c>
      <c r="N16" s="18">
        <f>IF(N4&gt;0,(M16/$N$4/12),0)</f>
        <v>0.22822050401069516</v>
      </c>
    </row>
    <row r="17" spans="2:14" ht="24">
      <c r="B17" s="9">
        <v>12</v>
      </c>
      <c r="C17" s="7" t="s">
        <v>33</v>
      </c>
      <c r="D17" s="7" t="s">
        <v>24</v>
      </c>
      <c r="E17" s="11">
        <v>1</v>
      </c>
      <c r="F17" s="11">
        <v>1</v>
      </c>
      <c r="G17" s="14">
        <f>1035.384*E17*F17</f>
        <v>1035.384</v>
      </c>
      <c r="H17" s="14">
        <f t="shared" si="2"/>
        <v>0</v>
      </c>
      <c r="I17" s="14">
        <f t="shared" si="0"/>
        <v>0</v>
      </c>
      <c r="J17" s="14">
        <f>724.7688*E17*F17</f>
        <v>724.7688</v>
      </c>
      <c r="K17" s="14">
        <f>184.816044*E17*F17</f>
        <v>184.816044</v>
      </c>
      <c r="L17" s="14">
        <f>103.5384*E17*F17</f>
        <v>103.5384</v>
      </c>
      <c r="M17" s="14">
        <f t="shared" si="1"/>
        <v>2048.507244</v>
      </c>
      <c r="N17" s="18">
        <f>IF(N4&gt;0,(M17/$N$4/12),0)</f>
        <v>0.11411025200534758</v>
      </c>
    </row>
    <row r="18" spans="2:14" ht="24">
      <c r="B18" s="9">
        <v>13</v>
      </c>
      <c r="C18" s="7" t="s">
        <v>34</v>
      </c>
      <c r="D18" s="7" t="s">
        <v>24</v>
      </c>
      <c r="E18" s="11">
        <v>1</v>
      </c>
      <c r="F18" s="11">
        <v>1</v>
      </c>
      <c r="G18" s="14">
        <f>1035.384*E18*F18</f>
        <v>1035.384</v>
      </c>
      <c r="H18" s="14">
        <f t="shared" si="2"/>
        <v>0</v>
      </c>
      <c r="I18" s="14">
        <f t="shared" si="0"/>
        <v>0</v>
      </c>
      <c r="J18" s="14">
        <f>724.7688*E18*F18</f>
        <v>724.7688</v>
      </c>
      <c r="K18" s="14">
        <f>184.816044*E18*F18</f>
        <v>184.816044</v>
      </c>
      <c r="L18" s="14">
        <f>103.5384*E18*F18</f>
        <v>103.5384</v>
      </c>
      <c r="M18" s="14">
        <f t="shared" si="1"/>
        <v>2048.507244</v>
      </c>
      <c r="N18" s="18">
        <f>IF(N4&gt;0,(M18/$N$4/12),0)</f>
        <v>0.11411025200534758</v>
      </c>
    </row>
    <row r="19" spans="2:14" ht="24">
      <c r="B19" s="9">
        <v>14</v>
      </c>
      <c r="C19" s="7" t="s">
        <v>35</v>
      </c>
      <c r="D19" s="7" t="s">
        <v>36</v>
      </c>
      <c r="E19" s="11">
        <v>1</v>
      </c>
      <c r="F19" s="11">
        <v>2</v>
      </c>
      <c r="G19" s="14">
        <f>2502.18*E19*F19</f>
        <v>5004.36</v>
      </c>
      <c r="H19" s="14">
        <f t="shared" si="2"/>
        <v>0</v>
      </c>
      <c r="I19" s="14">
        <f t="shared" si="0"/>
        <v>0</v>
      </c>
      <c r="J19" s="14">
        <f>1751.526*E19*F19</f>
        <v>3503.052</v>
      </c>
      <c r="K19" s="14">
        <f>446.63913*E19*F19</f>
        <v>893.27826</v>
      </c>
      <c r="L19" s="14">
        <f>250.218*E19*F19</f>
        <v>500.436</v>
      </c>
      <c r="M19" s="14">
        <f t="shared" si="1"/>
        <v>9901.12626</v>
      </c>
      <c r="N19" s="18">
        <f>IF(N4&gt;0,(M19/$N$4/12),0)</f>
        <v>0.5515333255347593</v>
      </c>
    </row>
    <row r="20" spans="2:14" ht="12">
      <c r="B20" s="9">
        <v>15</v>
      </c>
      <c r="C20" s="7" t="s">
        <v>37</v>
      </c>
      <c r="D20" s="7" t="s">
        <v>38</v>
      </c>
      <c r="E20" s="11">
        <v>1</v>
      </c>
      <c r="F20" s="11">
        <v>1</v>
      </c>
      <c r="G20" s="14">
        <f>1232.6*E20*F20</f>
        <v>1232.6</v>
      </c>
      <c r="H20" s="14">
        <f>526.6248*E20*F20</f>
        <v>526.6248</v>
      </c>
      <c r="I20" s="14">
        <f t="shared" si="0"/>
        <v>0</v>
      </c>
      <c r="J20" s="14">
        <f>862.82*E20*F20</f>
        <v>862.82</v>
      </c>
      <c r="K20" s="14">
        <f>275.314704*E20*F20</f>
        <v>275.314704</v>
      </c>
      <c r="L20" s="14">
        <f>123.26*E20*F20</f>
        <v>123.26</v>
      </c>
      <c r="M20" s="14">
        <f t="shared" si="1"/>
        <v>3020.6195040000002</v>
      </c>
      <c r="N20" s="18">
        <f>IF(N4&gt;0,(M20/$N$4/12),0)</f>
        <v>0.16826089037433156</v>
      </c>
    </row>
    <row r="21" spans="2:14" ht="12">
      <c r="B21" s="9">
        <v>16</v>
      </c>
      <c r="C21" s="7" t="s">
        <v>39</v>
      </c>
      <c r="D21" s="7" t="s">
        <v>38</v>
      </c>
      <c r="E21" s="11">
        <v>1</v>
      </c>
      <c r="F21" s="11">
        <v>1</v>
      </c>
      <c r="G21" s="14">
        <f>493.04*E21*F21</f>
        <v>493.04</v>
      </c>
      <c r="H21" s="14">
        <f>0*E21*F21</f>
        <v>0</v>
      </c>
      <c r="I21" s="14">
        <f t="shared" si="0"/>
        <v>0</v>
      </c>
      <c r="J21" s="14">
        <f>345.128*E21*F21</f>
        <v>345.128</v>
      </c>
      <c r="K21" s="14">
        <f>88.00764*E21*F21</f>
        <v>88.00764</v>
      </c>
      <c r="L21" s="14">
        <f>49.304*E21*F21</f>
        <v>49.304</v>
      </c>
      <c r="M21" s="14">
        <f t="shared" si="1"/>
        <v>975.47964</v>
      </c>
      <c r="N21" s="18">
        <f>IF(N4&gt;0,(M21/$N$4/12),0)</f>
        <v>0.05433821524064172</v>
      </c>
    </row>
    <row r="22" spans="2:14" ht="12">
      <c r="B22" s="9">
        <v>17</v>
      </c>
      <c r="C22" s="7" t="s">
        <v>40</v>
      </c>
      <c r="D22" s="7" t="s">
        <v>41</v>
      </c>
      <c r="E22" s="11">
        <v>1</v>
      </c>
      <c r="F22" s="11">
        <v>1</v>
      </c>
      <c r="G22" s="14">
        <f>70.4317324066*E22*F22</f>
        <v>70.4317324066</v>
      </c>
      <c r="H22" s="14">
        <f>0*E22*F22</f>
        <v>0</v>
      </c>
      <c r="I22" s="14">
        <f t="shared" si="0"/>
        <v>0</v>
      </c>
      <c r="J22" s="14">
        <f>49.30221268462*E22*F22</f>
        <v>49.30221268462</v>
      </c>
      <c r="K22" s="14">
        <f>12.572064234578*E22*F22</f>
        <v>12.572064234578</v>
      </c>
      <c r="L22" s="14">
        <f>7.04317324066*E22*F22</f>
        <v>7.04317324066</v>
      </c>
      <c r="M22" s="14">
        <f t="shared" si="1"/>
        <v>139.349182566458</v>
      </c>
      <c r="N22" s="18">
        <f>IF(N4&gt;0,(M22/$N$4/12),0)</f>
        <v>0.007762320775760807</v>
      </c>
    </row>
    <row r="23" spans="2:14" ht="36">
      <c r="B23" s="9">
        <v>18</v>
      </c>
      <c r="C23" s="7" t="s">
        <v>42</v>
      </c>
      <c r="D23" s="7" t="s">
        <v>43</v>
      </c>
      <c r="E23" s="11">
        <v>1</v>
      </c>
      <c r="F23" s="11">
        <v>12</v>
      </c>
      <c r="G23" s="14">
        <f>27.802*E23*F23</f>
        <v>333.624</v>
      </c>
      <c r="H23" s="14">
        <f>0*E23*F23</f>
        <v>0</v>
      </c>
      <c r="I23" s="14">
        <f t="shared" si="0"/>
        <v>0</v>
      </c>
      <c r="J23" s="14">
        <f>19.4614*E23*F23</f>
        <v>233.53680000000003</v>
      </c>
      <c r="K23" s="14">
        <f>4.962657*E23*F23</f>
        <v>59.551884</v>
      </c>
      <c r="L23" s="14">
        <f>2.7802*E23*F23</f>
        <v>33.362399999999994</v>
      </c>
      <c r="M23" s="14">
        <f t="shared" si="1"/>
        <v>660.0750840000001</v>
      </c>
      <c r="N23" s="18">
        <f>IF(N4&gt;0,(M23/$N$4/12),0)</f>
        <v>0.03676888836898396</v>
      </c>
    </row>
    <row r="24" spans="2:14" ht="36">
      <c r="B24" s="9">
        <v>19</v>
      </c>
      <c r="C24" s="7" t="s">
        <v>44</v>
      </c>
      <c r="D24" s="7" t="s">
        <v>45</v>
      </c>
      <c r="E24" s="11">
        <v>1</v>
      </c>
      <c r="F24" s="11">
        <v>2</v>
      </c>
      <c r="G24" s="14">
        <f>147.3506*E24*F24</f>
        <v>294.7012</v>
      </c>
      <c r="H24" s="14">
        <f>0*E24*F24</f>
        <v>0</v>
      </c>
      <c r="I24" s="14">
        <f t="shared" si="0"/>
        <v>0</v>
      </c>
      <c r="J24" s="14">
        <f>103.14542*E24*F24</f>
        <v>206.29084</v>
      </c>
      <c r="K24" s="14">
        <f>26.3020821*E24*F24</f>
        <v>52.6041642</v>
      </c>
      <c r="L24" s="14">
        <f>14.73506*E24*F24</f>
        <v>29.47012</v>
      </c>
      <c r="M24" s="14">
        <f t="shared" si="1"/>
        <v>583.0663241999999</v>
      </c>
      <c r="N24" s="18">
        <f>IF(N4&gt;0,(M24/$N$4/12),0)</f>
        <v>0.03247918472593583</v>
      </c>
    </row>
    <row r="25" spans="2:14" ht="24">
      <c r="B25" s="9">
        <v>20</v>
      </c>
      <c r="C25" s="7" t="s">
        <v>46</v>
      </c>
      <c r="D25" s="7" t="s">
        <v>43</v>
      </c>
      <c r="E25" s="11">
        <v>1</v>
      </c>
      <c r="F25" s="11">
        <v>1</v>
      </c>
      <c r="G25" s="14">
        <f>200.1744*E25*F25</f>
        <v>200.1744</v>
      </c>
      <c r="H25" s="14">
        <f>0*E25*F25</f>
        <v>0</v>
      </c>
      <c r="I25" s="14">
        <f t="shared" si="0"/>
        <v>0</v>
      </c>
      <c r="J25" s="14">
        <f>140.12208*E25*F25</f>
        <v>140.12208</v>
      </c>
      <c r="K25" s="14">
        <f>35.7311304*E25*F25</f>
        <v>35.7311304</v>
      </c>
      <c r="L25" s="14">
        <f>20.01744*E25*F25</f>
        <v>20.01744</v>
      </c>
      <c r="M25" s="14">
        <f t="shared" si="1"/>
        <v>396.0450504</v>
      </c>
      <c r="N25" s="18">
        <f>IF(N4&gt;0,(M25/$N$4/12),0)</f>
        <v>0.022061333021390375</v>
      </c>
    </row>
    <row r="26" spans="2:14" ht="19.5" customHeight="1">
      <c r="B26" s="39" t="s">
        <v>47</v>
      </c>
      <c r="C26" s="40"/>
      <c r="D26" s="40"/>
      <c r="E26" s="40"/>
      <c r="F26" s="40"/>
      <c r="G26" s="15">
        <f aca="true" t="shared" si="3" ref="G26:N26">SUM(G6:G25)</f>
        <v>23139.8459006464</v>
      </c>
      <c r="H26" s="15">
        <f t="shared" si="3"/>
        <v>2492.3762055451202</v>
      </c>
      <c r="I26" s="15">
        <f t="shared" si="3"/>
        <v>0</v>
      </c>
      <c r="J26" s="15">
        <f t="shared" si="3"/>
        <v>16197.89213045248</v>
      </c>
      <c r="K26" s="15">
        <f t="shared" si="3"/>
        <v>4392.16199484762</v>
      </c>
      <c r="L26" s="15">
        <f t="shared" si="3"/>
        <v>2313.98459006464</v>
      </c>
      <c r="M26" s="15">
        <f t="shared" si="3"/>
        <v>48536.26082155626</v>
      </c>
      <c r="N26" s="19">
        <f t="shared" si="3"/>
        <v>2.7036687177783123</v>
      </c>
    </row>
    <row r="27" spans="2:14" ht="21.75" customHeight="1">
      <c r="B27" s="48" t="s">
        <v>48</v>
      </c>
      <c r="C27" s="49"/>
      <c r="D27" s="49"/>
      <c r="E27" s="49"/>
      <c r="F27" s="49"/>
      <c r="G27" s="50"/>
      <c r="H27" s="50"/>
      <c r="I27" s="50"/>
      <c r="J27" s="50"/>
      <c r="K27" s="50"/>
      <c r="L27" s="50"/>
      <c r="M27" s="50"/>
      <c r="N27" s="51"/>
    </row>
    <row r="28" spans="2:14" ht="36">
      <c r="B28" s="8">
        <v>21</v>
      </c>
      <c r="C28" s="6" t="s">
        <v>49</v>
      </c>
      <c r="D28" s="6" t="s">
        <v>50</v>
      </c>
      <c r="E28" s="10">
        <v>1</v>
      </c>
      <c r="F28" s="10">
        <v>104</v>
      </c>
      <c r="G28" s="13">
        <f>221.58786*E28*F28</f>
        <v>23045.137440000002</v>
      </c>
      <c r="H28" s="13">
        <f>0.688554*E28*F28</f>
        <v>71.609616</v>
      </c>
      <c r="I28" s="13">
        <f aca="true" t="shared" si="4" ref="I28:I48">0*E28*F28</f>
        <v>0</v>
      </c>
      <c r="J28" s="13">
        <f>155.111502*E28*F28</f>
        <v>16131.596208</v>
      </c>
      <c r="K28" s="13">
        <f>39.62573118*E28*F28</f>
        <v>4121.07604272</v>
      </c>
      <c r="L28" s="13">
        <f>22.158786*E28*F28</f>
        <v>2304.513744</v>
      </c>
      <c r="M28" s="13">
        <f aca="true" t="shared" si="5" ref="M28:M48">SUM(G28:L28)</f>
        <v>45673.93305072001</v>
      </c>
      <c r="N28" s="17">
        <f>IF(N4&gt;0,(M28/$N$4/12),0)</f>
        <v>2.5442253259090912</v>
      </c>
    </row>
    <row r="29" spans="2:14" ht="24">
      <c r="B29" s="9">
        <v>22</v>
      </c>
      <c r="C29" s="7" t="s">
        <v>51</v>
      </c>
      <c r="D29" s="7" t="s">
        <v>52</v>
      </c>
      <c r="E29" s="11">
        <v>1</v>
      </c>
      <c r="F29" s="11">
        <v>12</v>
      </c>
      <c r="G29" s="14">
        <f>510.9520007514*E29*F29</f>
        <v>6131.4240090168005</v>
      </c>
      <c r="H29" s="14">
        <f>43.90997693784*E29*F29</f>
        <v>526.91972325408</v>
      </c>
      <c r="I29" s="14">
        <f t="shared" si="4"/>
        <v>0</v>
      </c>
      <c r="J29" s="14">
        <f>357.66640052598*E29*F29</f>
        <v>4291.99680631176</v>
      </c>
      <c r="K29" s="14">
        <f>95.815479712598*E29*F29</f>
        <v>1149.785756551176</v>
      </c>
      <c r="L29" s="14">
        <f>51.09520007514*E29*F29</f>
        <v>613.14240090168</v>
      </c>
      <c r="M29" s="14">
        <f t="shared" si="5"/>
        <v>12713.268696035499</v>
      </c>
      <c r="N29" s="18">
        <f>IF(N4&gt;0,(M29/$N$4/12),0)</f>
        <v>0.7081811885046512</v>
      </c>
    </row>
    <row r="30" spans="2:14" ht="24">
      <c r="B30" s="9">
        <v>23</v>
      </c>
      <c r="C30" s="7" t="s">
        <v>53</v>
      </c>
      <c r="D30" s="7" t="s">
        <v>54</v>
      </c>
      <c r="E30" s="11">
        <v>1</v>
      </c>
      <c r="F30" s="11">
        <v>12</v>
      </c>
      <c r="G30" s="14">
        <f>514.7089992486*E30*F30</f>
        <v>6176.5079909832</v>
      </c>
      <c r="H30" s="14">
        <f>28.417979664*E30*F30</f>
        <v>341.015755968</v>
      </c>
      <c r="I30" s="14">
        <f t="shared" si="4"/>
        <v>0</v>
      </c>
      <c r="J30" s="14">
        <f>360.29629947402*E30*F30</f>
        <v>4323.555593688239</v>
      </c>
      <c r="K30" s="14">
        <f>94.859444230595*E30*F30</f>
        <v>1138.31333076714</v>
      </c>
      <c r="L30" s="14">
        <f>51.47089992486*E30*F30</f>
        <v>617.65079909832</v>
      </c>
      <c r="M30" s="14">
        <f t="shared" si="5"/>
        <v>12597.043470504901</v>
      </c>
      <c r="N30" s="18">
        <f>IF(N4&gt;0,(M30/$N$4/12),0)</f>
        <v>0.7017069669398898</v>
      </c>
    </row>
    <row r="31" spans="2:14" ht="24">
      <c r="B31" s="9">
        <v>24</v>
      </c>
      <c r="C31" s="7" t="s">
        <v>55</v>
      </c>
      <c r="D31" s="7" t="s">
        <v>56</v>
      </c>
      <c r="E31" s="11">
        <v>1</v>
      </c>
      <c r="F31" s="11">
        <v>6</v>
      </c>
      <c r="G31" s="14">
        <f>492.1669992486*E31*F31</f>
        <v>2953.0019954916</v>
      </c>
      <c r="H31" s="14">
        <f>28.4040631488*E31*F31</f>
        <v>170.4243788928</v>
      </c>
      <c r="I31" s="14">
        <f t="shared" si="4"/>
        <v>0</v>
      </c>
      <c r="J31" s="14">
        <f>344.51689947402*E31*F31</f>
        <v>2067.1013968441202</v>
      </c>
      <c r="K31" s="14">
        <f>90.834235996499*E31*F31</f>
        <v>545.005415978994</v>
      </c>
      <c r="L31" s="14">
        <f>49.21669992486*E31*F31</f>
        <v>295.30019954916</v>
      </c>
      <c r="M31" s="14">
        <f t="shared" si="5"/>
        <v>6030.833386756675</v>
      </c>
      <c r="N31" s="18">
        <f>IF(N4&gt;0,(M31/$N$4/12),0)</f>
        <v>0.33594214498421765</v>
      </c>
    </row>
    <row r="32" spans="2:14" ht="24">
      <c r="B32" s="9">
        <v>25</v>
      </c>
      <c r="C32" s="7" t="s">
        <v>57</v>
      </c>
      <c r="D32" s="7" t="s">
        <v>58</v>
      </c>
      <c r="E32" s="11">
        <v>1</v>
      </c>
      <c r="F32" s="11">
        <v>2</v>
      </c>
      <c r="G32" s="14">
        <f>755.157*E32*F32</f>
        <v>1510.314</v>
      </c>
      <c r="H32" s="14">
        <f>42.98284795584*E32*F32</f>
        <v>85.96569591168</v>
      </c>
      <c r="I32" s="14">
        <f t="shared" si="4"/>
        <v>0</v>
      </c>
      <c r="J32" s="14">
        <f>528.6099*E32*F32</f>
        <v>1057.2198</v>
      </c>
      <c r="K32" s="14">
        <f>139.30872353536*E32*F32</f>
        <v>278.61744707072</v>
      </c>
      <c r="L32" s="14">
        <f>75.5157*E32*F32</f>
        <v>151.0314</v>
      </c>
      <c r="M32" s="14">
        <f t="shared" si="5"/>
        <v>3083.1483429824</v>
      </c>
      <c r="N32" s="18">
        <f>IF(N4&gt;0,(M32/$N$4/12),0)</f>
        <v>0.1717440030627451</v>
      </c>
    </row>
    <row r="33" spans="2:14" ht="24">
      <c r="B33" s="9">
        <v>26</v>
      </c>
      <c r="C33" s="7" t="s">
        <v>59</v>
      </c>
      <c r="D33" s="7" t="s">
        <v>60</v>
      </c>
      <c r="E33" s="11">
        <v>1</v>
      </c>
      <c r="F33" s="11">
        <v>2</v>
      </c>
      <c r="G33" s="14">
        <f>241.1994*E33*F33</f>
        <v>482.3988</v>
      </c>
      <c r="H33" s="14">
        <f>84.477*E33*F33</f>
        <v>168.954</v>
      </c>
      <c r="I33" s="14">
        <f t="shared" si="4"/>
        <v>0</v>
      </c>
      <c r="J33" s="14">
        <f>168.83958*E33*F33</f>
        <v>337.67916</v>
      </c>
      <c r="K33" s="14">
        <f>51.9241779*E33*F33</f>
        <v>103.8483558</v>
      </c>
      <c r="L33" s="14">
        <f>24.11994*E33*F33</f>
        <v>48.23988</v>
      </c>
      <c r="M33" s="14">
        <f t="shared" si="5"/>
        <v>1141.1201958000001</v>
      </c>
      <c r="N33" s="18">
        <f>IF(N4&gt;0,(M33/$N$4/12),0)</f>
        <v>0.06356507329545455</v>
      </c>
    </row>
    <row r="34" spans="2:14" ht="60">
      <c r="B34" s="9">
        <v>27</v>
      </c>
      <c r="C34" s="7" t="s">
        <v>61</v>
      </c>
      <c r="D34" s="7" t="s">
        <v>62</v>
      </c>
      <c r="E34" s="11">
        <v>1</v>
      </c>
      <c r="F34" s="11">
        <v>2</v>
      </c>
      <c r="G34" s="14">
        <f>304.317*E34*F34</f>
        <v>608.634</v>
      </c>
      <c r="H34" s="14">
        <f>84.477*E34*F34</f>
        <v>168.954</v>
      </c>
      <c r="I34" s="14">
        <f t="shared" si="4"/>
        <v>0</v>
      </c>
      <c r="J34" s="14">
        <f>213.0219*E34*F34</f>
        <v>426.0438</v>
      </c>
      <c r="K34" s="14">
        <f>63.1906695*E34*F34</f>
        <v>126.381339</v>
      </c>
      <c r="L34" s="14">
        <f>30.4317*E34*F34</f>
        <v>60.8634</v>
      </c>
      <c r="M34" s="14">
        <f t="shared" si="5"/>
        <v>1390.8765389999999</v>
      </c>
      <c r="N34" s="18">
        <f>IF(N4&gt;0,(M34/$N$4/12),0)</f>
        <v>0.07747752556818181</v>
      </c>
    </row>
    <row r="35" spans="2:14" ht="24">
      <c r="B35" s="9">
        <v>28</v>
      </c>
      <c r="C35" s="7" t="s">
        <v>63</v>
      </c>
      <c r="D35" s="7" t="s">
        <v>64</v>
      </c>
      <c r="E35" s="11">
        <v>1</v>
      </c>
      <c r="F35" s="11">
        <v>12</v>
      </c>
      <c r="G35" s="14">
        <f>410.2644*E35*F35</f>
        <v>4923.1728</v>
      </c>
      <c r="H35" s="14">
        <f>84.477*E35*F35</f>
        <v>1013.724</v>
      </c>
      <c r="I35" s="14">
        <f t="shared" si="4"/>
        <v>0</v>
      </c>
      <c r="J35" s="14">
        <f>287.18508*E35*F35</f>
        <v>3446.2209600000006</v>
      </c>
      <c r="K35" s="14">
        <f>82.1022804*E35*F35</f>
        <v>985.2273648</v>
      </c>
      <c r="L35" s="14">
        <f>41.02644*E35*F35</f>
        <v>492.31728</v>
      </c>
      <c r="M35" s="14">
        <f t="shared" si="5"/>
        <v>10860.662404800001</v>
      </c>
      <c r="N35" s="18">
        <f>IF(N4&gt;0,(M35/$N$4/12),0)</f>
        <v>0.6049834227272728</v>
      </c>
    </row>
    <row r="36" spans="2:14" ht="12">
      <c r="B36" s="9">
        <v>29</v>
      </c>
      <c r="C36" s="7" t="s">
        <v>65</v>
      </c>
      <c r="D36" s="7" t="s">
        <v>66</v>
      </c>
      <c r="E36" s="11">
        <v>1</v>
      </c>
      <c r="F36" s="11">
        <v>2</v>
      </c>
      <c r="G36" s="14">
        <f>341.871972*E36*F36</f>
        <v>683.743944</v>
      </c>
      <c r="H36" s="14">
        <f>84.477*E36*F36</f>
        <v>168.954</v>
      </c>
      <c r="I36" s="14">
        <f t="shared" si="4"/>
        <v>0</v>
      </c>
      <c r="J36" s="14">
        <f>239.3103804*E36*F36</f>
        <v>478.6207608</v>
      </c>
      <c r="K36" s="14">
        <f>69.894232002*E36*F36</f>
        <v>139.788464004</v>
      </c>
      <c r="L36" s="14">
        <f>34.1871972*E36*F36</f>
        <v>68.3743944</v>
      </c>
      <c r="M36" s="14">
        <f t="shared" si="5"/>
        <v>1539.481563204</v>
      </c>
      <c r="N36" s="18">
        <f>IF(N4&gt;0,(M36/$N$4/12),0)</f>
        <v>0.08575543467045454</v>
      </c>
    </row>
    <row r="37" spans="2:14" ht="12">
      <c r="B37" s="9">
        <v>30</v>
      </c>
      <c r="C37" s="7" t="s">
        <v>67</v>
      </c>
      <c r="D37" s="7" t="s">
        <v>68</v>
      </c>
      <c r="E37" s="11">
        <v>1</v>
      </c>
      <c r="F37" s="11">
        <v>2</v>
      </c>
      <c r="G37" s="14">
        <f>236.691*E37*F37</f>
        <v>473.382</v>
      </c>
      <c r="H37" s="14">
        <f>4.7466*E37*F37</f>
        <v>9.4932</v>
      </c>
      <c r="I37" s="14">
        <f t="shared" si="4"/>
        <v>0</v>
      </c>
      <c r="J37" s="14">
        <f>165.6837*E37*F37</f>
        <v>331.3674</v>
      </c>
      <c r="K37" s="14">
        <f>42.7477365*E37*F37</f>
        <v>85.495473</v>
      </c>
      <c r="L37" s="14">
        <f>23.6691*E37*F37</f>
        <v>47.3382</v>
      </c>
      <c r="M37" s="14">
        <f t="shared" si="5"/>
        <v>947.076273</v>
      </c>
      <c r="N37" s="18">
        <f>IF(N4&gt;0,(M37/$N$4/12),0)</f>
        <v>0.05275603125</v>
      </c>
    </row>
    <row r="38" spans="2:14" ht="24">
      <c r="B38" s="9">
        <v>31</v>
      </c>
      <c r="C38" s="7" t="s">
        <v>69</v>
      </c>
      <c r="D38" s="7" t="s">
        <v>70</v>
      </c>
      <c r="E38" s="11">
        <v>1</v>
      </c>
      <c r="F38" s="11">
        <v>12</v>
      </c>
      <c r="G38" s="14">
        <f>276.3607*E38*F38</f>
        <v>3316.3284000000003</v>
      </c>
      <c r="H38" s="14">
        <f>5.2909824*E38*F38</f>
        <v>63.491788799999995</v>
      </c>
      <c r="I38" s="14">
        <f t="shared" si="4"/>
        <v>0</v>
      </c>
      <c r="J38" s="14">
        <f>193.45249*E38*F38</f>
        <v>2321.42988</v>
      </c>
      <c r="K38" s="14">
        <f>49.885938102*E38*F38</f>
        <v>598.6312572239999</v>
      </c>
      <c r="L38" s="14">
        <f>27.63607*E38*F38</f>
        <v>331.63284</v>
      </c>
      <c r="M38" s="14">
        <f t="shared" si="5"/>
        <v>6631.514166024001</v>
      </c>
      <c r="N38" s="18">
        <f>IF(N4&gt;0,(M38/$N$4/12),0)</f>
        <v>0.36940252707352944</v>
      </c>
    </row>
    <row r="39" spans="2:14" ht="12">
      <c r="B39" s="9">
        <v>32</v>
      </c>
      <c r="C39" s="7" t="s">
        <v>71</v>
      </c>
      <c r="D39" s="7" t="s">
        <v>72</v>
      </c>
      <c r="E39" s="11">
        <v>1</v>
      </c>
      <c r="F39" s="11">
        <v>12</v>
      </c>
      <c r="G39" s="14">
        <f>450.9043*E39*F39</f>
        <v>5410.8516</v>
      </c>
      <c r="H39" s="14">
        <f>8.3974848*E39*F39</f>
        <v>100.76981760000001</v>
      </c>
      <c r="I39" s="14">
        <f t="shared" si="4"/>
        <v>0</v>
      </c>
      <c r="J39" s="14">
        <f>315.63301*E39*F39</f>
        <v>3787.59612</v>
      </c>
      <c r="K39" s="14">
        <f>81.368153454*E39*F39</f>
        <v>976.417841448</v>
      </c>
      <c r="L39" s="14">
        <f>45.09043*E39*F39</f>
        <v>541.08516</v>
      </c>
      <c r="M39" s="14">
        <f t="shared" si="5"/>
        <v>10816.720539048001</v>
      </c>
      <c r="N39" s="18">
        <f>IF(N4&gt;0,(M39/$N$4/12),0)</f>
        <v>0.6025356806510697</v>
      </c>
    </row>
    <row r="40" spans="2:14" ht="24">
      <c r="B40" s="9">
        <v>33</v>
      </c>
      <c r="C40" s="7" t="s">
        <v>73</v>
      </c>
      <c r="D40" s="7" t="s">
        <v>74</v>
      </c>
      <c r="E40" s="11">
        <v>2</v>
      </c>
      <c r="F40" s="11">
        <v>1</v>
      </c>
      <c r="G40" s="14">
        <f>698.802*E40*F40</f>
        <v>1397.604</v>
      </c>
      <c r="H40" s="14">
        <f>981.97662588*E40*F40</f>
        <v>1963.95325176</v>
      </c>
      <c r="I40" s="14">
        <f t="shared" si="4"/>
        <v>0</v>
      </c>
      <c r="J40" s="14">
        <f>489.1614*E40*F40</f>
        <v>978.3228</v>
      </c>
      <c r="K40" s="14">
        <f>227.8437027174*E40*F40</f>
        <v>455.6874054348</v>
      </c>
      <c r="L40" s="14">
        <f>69.8802*E40*F40</f>
        <v>139.7604</v>
      </c>
      <c r="M40" s="14">
        <f t="shared" si="5"/>
        <v>4935.3278571948</v>
      </c>
      <c r="N40" s="18">
        <f>IF(N4&gt;0,(M40/$N$4/12),0)</f>
        <v>0.2749179956102273</v>
      </c>
    </row>
    <row r="41" spans="2:14" ht="36">
      <c r="B41" s="9">
        <v>34</v>
      </c>
      <c r="C41" s="7" t="s">
        <v>75</v>
      </c>
      <c r="D41" s="7" t="s">
        <v>76</v>
      </c>
      <c r="E41" s="11">
        <v>1</v>
      </c>
      <c r="F41" s="11">
        <v>3</v>
      </c>
      <c r="G41" s="14">
        <f>4847.7407*E41*F41</f>
        <v>14543.2221</v>
      </c>
      <c r="H41" s="14">
        <f>112.65816*E41*F41</f>
        <v>337.97447999999997</v>
      </c>
      <c r="I41" s="14">
        <f t="shared" si="4"/>
        <v>0</v>
      </c>
      <c r="J41" s="14">
        <f>3393.41849*E41*F41</f>
        <v>10180.25547</v>
      </c>
      <c r="K41" s="14">
        <f>877.15082175*E41*F41</f>
        <v>2631.45246525</v>
      </c>
      <c r="L41" s="14">
        <f>484.77407*E41*F41</f>
        <v>1454.32221</v>
      </c>
      <c r="M41" s="14">
        <f t="shared" si="5"/>
        <v>29147.22672525</v>
      </c>
      <c r="N41" s="18">
        <f>IF(N4&gt;0,(M41/$N$4/12),0)</f>
        <v>1.6236200270304144</v>
      </c>
    </row>
    <row r="42" spans="2:14" ht="12">
      <c r="B42" s="9">
        <v>35</v>
      </c>
      <c r="C42" s="7" t="s">
        <v>77</v>
      </c>
      <c r="D42" s="7" t="s">
        <v>78</v>
      </c>
      <c r="E42" s="11">
        <v>1</v>
      </c>
      <c r="F42" s="11">
        <v>2</v>
      </c>
      <c r="G42" s="14">
        <f>21.19458*E42*F42</f>
        <v>42.38916</v>
      </c>
      <c r="H42" s="14">
        <f>0*E42*F42</f>
        <v>0</v>
      </c>
      <c r="I42" s="14">
        <f t="shared" si="4"/>
        <v>0</v>
      </c>
      <c r="J42" s="14">
        <f>14.836206*E42*F42</f>
        <v>29.672412</v>
      </c>
      <c r="K42" s="14">
        <f>3.78323253*E42*F42</f>
        <v>7.56646506</v>
      </c>
      <c r="L42" s="14">
        <f>2.119458*E42*F42</f>
        <v>4.238916</v>
      </c>
      <c r="M42" s="14">
        <f t="shared" si="5"/>
        <v>83.86695306</v>
      </c>
      <c r="N42" s="18">
        <f>IF(N4&gt;0,(M42/$N$4/12),0)</f>
        <v>0.004671733125</v>
      </c>
    </row>
    <row r="43" spans="2:14" ht="24">
      <c r="B43" s="9">
        <v>36</v>
      </c>
      <c r="C43" s="7" t="s">
        <v>79</v>
      </c>
      <c r="D43" s="7" t="s">
        <v>80</v>
      </c>
      <c r="E43" s="11">
        <v>1</v>
      </c>
      <c r="F43" s="11">
        <v>2</v>
      </c>
      <c r="G43" s="14">
        <f>561.033*E43*F43</f>
        <v>1122.066</v>
      </c>
      <c r="H43" s="14">
        <f>0*E43*F43</f>
        <v>0</v>
      </c>
      <c r="I43" s="14">
        <f t="shared" si="4"/>
        <v>0</v>
      </c>
      <c r="J43" s="14">
        <f>392.7231*E43*F43</f>
        <v>785.4462</v>
      </c>
      <c r="K43" s="14">
        <f>100.1443905*E43*F43</f>
        <v>200.288781</v>
      </c>
      <c r="L43" s="14">
        <f>56.1033*E43*F43</f>
        <v>112.2066</v>
      </c>
      <c r="M43" s="14">
        <f t="shared" si="5"/>
        <v>2220.0075810000003</v>
      </c>
      <c r="N43" s="18">
        <f>IF(N4&gt;0,(M43/$N$4/12),0)</f>
        <v>0.12366352389705883</v>
      </c>
    </row>
    <row r="44" spans="2:14" ht="12">
      <c r="B44" s="9">
        <v>37</v>
      </c>
      <c r="C44" s="7" t="s">
        <v>81</v>
      </c>
      <c r="D44" s="7" t="s">
        <v>82</v>
      </c>
      <c r="E44" s="11">
        <v>1</v>
      </c>
      <c r="F44" s="11">
        <v>2</v>
      </c>
      <c r="G44" s="14">
        <f>249.348*E44*F44</f>
        <v>498.696</v>
      </c>
      <c r="H44" s="14">
        <f>0*E44*F44</f>
        <v>0</v>
      </c>
      <c r="I44" s="14">
        <f t="shared" si="4"/>
        <v>0</v>
      </c>
      <c r="J44" s="14">
        <f>174.5436*E44*F44</f>
        <v>349.0872</v>
      </c>
      <c r="K44" s="14">
        <f>44.508618*E44*F44</f>
        <v>89.017236</v>
      </c>
      <c r="L44" s="14">
        <f>24.9348*E44*F44</f>
        <v>49.8696</v>
      </c>
      <c r="M44" s="14">
        <f t="shared" si="5"/>
        <v>986.6700360000001</v>
      </c>
      <c r="N44" s="18">
        <f>IF(N4&gt;0,(M44/$N$4/12),0)</f>
        <v>0.0549615661764706</v>
      </c>
    </row>
    <row r="45" spans="2:14" ht="24">
      <c r="B45" s="9">
        <v>38</v>
      </c>
      <c r="C45" s="7" t="s">
        <v>83</v>
      </c>
      <c r="D45" s="7" t="s">
        <v>84</v>
      </c>
      <c r="E45" s="11">
        <v>1</v>
      </c>
      <c r="F45" s="11">
        <v>12</v>
      </c>
      <c r="G45" s="14">
        <f>286.7502*E45*F45</f>
        <v>3441.0024000000003</v>
      </c>
      <c r="H45" s="14">
        <f>1.1274672*E45*F45</f>
        <v>13.529606399999999</v>
      </c>
      <c r="I45" s="14">
        <f t="shared" si="4"/>
        <v>0</v>
      </c>
      <c r="J45" s="14">
        <f>200.72514*E45*F45</f>
        <v>2408.70168</v>
      </c>
      <c r="K45" s="14">
        <f>51.303294756*E45*F45</f>
        <v>615.6395370719999</v>
      </c>
      <c r="L45" s="14">
        <f>28.67502*E45*F45</f>
        <v>344.10024</v>
      </c>
      <c r="M45" s="14">
        <f t="shared" si="5"/>
        <v>6822.973463472001</v>
      </c>
      <c r="N45" s="18">
        <f>IF(N4&gt;0,(M45/$N$4/12),0)</f>
        <v>0.3800675948903744</v>
      </c>
    </row>
    <row r="46" spans="2:14" ht="24">
      <c r="B46" s="9">
        <v>39</v>
      </c>
      <c r="C46" s="7" t="s">
        <v>85</v>
      </c>
      <c r="D46" s="7" t="s">
        <v>84</v>
      </c>
      <c r="E46" s="11">
        <v>1</v>
      </c>
      <c r="F46" s="11">
        <v>12</v>
      </c>
      <c r="G46" s="14">
        <f>52.98645*E46*F46</f>
        <v>635.8374</v>
      </c>
      <c r="H46" s="14">
        <f>0.52909824*E46*F46</f>
        <v>6.34917888</v>
      </c>
      <c r="I46" s="14">
        <f t="shared" si="4"/>
        <v>0</v>
      </c>
      <c r="J46" s="14">
        <f>37.090515*E46*F46</f>
        <v>445.08618</v>
      </c>
      <c r="K46" s="14">
        <f>9.5136366402*E46*F46</f>
        <v>114.1636396824</v>
      </c>
      <c r="L46" s="14">
        <f>5.298645*E46*F46</f>
        <v>63.58373999999999</v>
      </c>
      <c r="M46" s="14">
        <f t="shared" si="5"/>
        <v>1265.0201385624</v>
      </c>
      <c r="N46" s="18">
        <f>IF(N4&gt;0,(M46/$N$4/12),0)</f>
        <v>0.070466808075</v>
      </c>
    </row>
    <row r="47" spans="2:14" ht="12">
      <c r="B47" s="9">
        <v>40</v>
      </c>
      <c r="C47" s="7" t="s">
        <v>86</v>
      </c>
      <c r="D47" s="7" t="s">
        <v>84</v>
      </c>
      <c r="E47" s="11">
        <v>1</v>
      </c>
      <c r="F47" s="11">
        <v>12</v>
      </c>
      <c r="G47" s="14">
        <f>526.33207*E47*F47</f>
        <v>6315.984840000001</v>
      </c>
      <c r="H47" s="14">
        <f>37.39884*E47*F47</f>
        <v>448.78607999999997</v>
      </c>
      <c r="I47" s="14">
        <f t="shared" si="4"/>
        <v>0</v>
      </c>
      <c r="J47" s="14">
        <f>368.432449*E47*F47</f>
        <v>4421.189388000001</v>
      </c>
      <c r="K47" s="14">
        <f>97.877152695*E47*F47</f>
        <v>1174.52583234</v>
      </c>
      <c r="L47" s="14">
        <f>52.633207*E47*F47</f>
        <v>631.598484</v>
      </c>
      <c r="M47" s="14">
        <f t="shared" si="5"/>
        <v>12992.084624340001</v>
      </c>
      <c r="N47" s="18">
        <f>IF(N4&gt;0,(M47/$N$4/12),0)</f>
        <v>0.7237123788068183</v>
      </c>
    </row>
    <row r="48" spans="2:14" ht="36">
      <c r="B48" s="9">
        <v>41</v>
      </c>
      <c r="C48" s="7" t="s">
        <v>87</v>
      </c>
      <c r="D48" s="7" t="s">
        <v>88</v>
      </c>
      <c r="E48" s="11">
        <v>1</v>
      </c>
      <c r="F48" s="11">
        <v>1</v>
      </c>
      <c r="G48" s="14">
        <f>357.454*E48*F48</f>
        <v>357.454</v>
      </c>
      <c r="H48" s="14">
        <f>368.103696*E48*F48</f>
        <v>368.103696</v>
      </c>
      <c r="I48" s="14">
        <f t="shared" si="4"/>
        <v>0</v>
      </c>
      <c r="J48" s="14">
        <f>250.2178*E48*F48</f>
        <v>250.2178</v>
      </c>
      <c r="K48" s="14">
        <f>102.45642708*E48*F48</f>
        <v>102.45642708</v>
      </c>
      <c r="L48" s="14">
        <f>35.7454*E48*F48</f>
        <v>35.7454</v>
      </c>
      <c r="M48" s="14">
        <f t="shared" si="5"/>
        <v>1113.9773230800001</v>
      </c>
      <c r="N48" s="18">
        <f>IF(N4&gt;0,(M48/$N$4/12),0)</f>
        <v>0.062053104004010706</v>
      </c>
    </row>
    <row r="49" spans="2:14" ht="12.75">
      <c r="B49" s="39" t="s">
        <v>47</v>
      </c>
      <c r="C49" s="40"/>
      <c r="D49" s="40"/>
      <c r="E49" s="40"/>
      <c r="F49" s="40"/>
      <c r="G49" s="15">
        <f aca="true" t="shared" si="6" ref="G49:N49">SUM(G28:G48)</f>
        <v>84069.15287949161</v>
      </c>
      <c r="H49" s="15">
        <f t="shared" si="6"/>
        <v>6028.972269466561</v>
      </c>
      <c r="I49" s="15">
        <f t="shared" si="6"/>
        <v>0</v>
      </c>
      <c r="J49" s="15">
        <f t="shared" si="6"/>
        <v>58848.407015644116</v>
      </c>
      <c r="K49" s="15">
        <f t="shared" si="6"/>
        <v>15639.385877283226</v>
      </c>
      <c r="L49" s="15">
        <f t="shared" si="6"/>
        <v>8406.91528794916</v>
      </c>
      <c r="M49" s="15">
        <f t="shared" si="6"/>
        <v>172992.8333298347</v>
      </c>
      <c r="N49" s="19">
        <f t="shared" si="6"/>
        <v>9.636410056251934</v>
      </c>
    </row>
    <row r="50" spans="2:14" ht="27.75" customHeight="1">
      <c r="B50" s="41" t="s">
        <v>89</v>
      </c>
      <c r="C50" s="42"/>
      <c r="D50" s="42"/>
      <c r="E50" s="42"/>
      <c r="F50" s="42"/>
      <c r="G50" s="20">
        <f aca="true" t="shared" si="7" ref="G50:N50">G26+G49</f>
        <v>107208.998780138</v>
      </c>
      <c r="H50" s="20">
        <f t="shared" si="7"/>
        <v>8521.34847501168</v>
      </c>
      <c r="I50" s="20">
        <f t="shared" si="7"/>
        <v>0</v>
      </c>
      <c r="J50" s="20">
        <f t="shared" si="7"/>
        <v>75046.2991460966</v>
      </c>
      <c r="K50" s="20">
        <f t="shared" si="7"/>
        <v>20031.547872130846</v>
      </c>
      <c r="L50" s="20">
        <f t="shared" si="7"/>
        <v>10720.899878013799</v>
      </c>
      <c r="M50" s="20">
        <f t="shared" si="7"/>
        <v>221529.09415139098</v>
      </c>
      <c r="N50" s="21">
        <f t="shared" si="7"/>
        <v>12.340078774030246</v>
      </c>
    </row>
    <row r="54" spans="3:14" ht="18">
      <c r="C54" s="43" t="s">
        <v>90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3:11" ht="19.5" customHeight="1">
      <c r="C55" s="36" t="s">
        <v>91</v>
      </c>
      <c r="D55" s="37"/>
      <c r="E55" s="38">
        <f>G50</f>
        <v>107208.998780138</v>
      </c>
      <c r="F55" s="37"/>
      <c r="G55" s="36" t="s">
        <v>92</v>
      </c>
      <c r="H55" s="37"/>
      <c r="I55" s="37"/>
      <c r="J55" s="38">
        <f>J50</f>
        <v>75046.2991460966</v>
      </c>
      <c r="K55" s="37"/>
    </row>
    <row r="56" spans="3:11" ht="19.5" customHeight="1">
      <c r="C56" s="36" t="s">
        <v>93</v>
      </c>
      <c r="D56" s="37"/>
      <c r="E56" s="38">
        <f>H50</f>
        <v>8521.34847501168</v>
      </c>
      <c r="F56" s="37"/>
      <c r="G56" s="36" t="s">
        <v>94</v>
      </c>
      <c r="H56" s="37"/>
      <c r="I56" s="37"/>
      <c r="J56" s="38">
        <f>K50</f>
        <v>20031.547872130846</v>
      </c>
      <c r="K56" s="37"/>
    </row>
    <row r="57" spans="3:11" ht="19.5" customHeight="1">
      <c r="C57" s="36" t="s">
        <v>95</v>
      </c>
      <c r="D57" s="37"/>
      <c r="E57" s="38">
        <f>I50</f>
        <v>0</v>
      </c>
      <c r="F57" s="37"/>
      <c r="G57" s="36" t="s">
        <v>96</v>
      </c>
      <c r="H57" s="37"/>
      <c r="I57" s="37"/>
      <c r="J57" s="38">
        <f>L50</f>
        <v>10720.899878013799</v>
      </c>
      <c r="K57" s="37"/>
    </row>
    <row r="58" spans="3:11" ht="15">
      <c r="C58" s="5"/>
      <c r="E58" s="22"/>
      <c r="G58" s="36" t="s">
        <v>97</v>
      </c>
      <c r="H58" s="37"/>
      <c r="I58" s="37"/>
      <c r="J58" s="38">
        <f>M50</f>
        <v>221529.09415139098</v>
      </c>
      <c r="K58" s="37"/>
    </row>
    <row r="62" spans="3:14" ht="18.75">
      <c r="C62" s="34" t="s">
        <v>177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</row>
    <row r="63" spans="3:14" ht="18.75">
      <c r="C63" s="34" t="s">
        <v>178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</row>
    <row r="64" spans="3:14" ht="20.25" customHeight="1">
      <c r="C64" s="35" t="s">
        <v>179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 t="s">
        <v>180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B1:M1"/>
    <mergeCell ref="B4:K4"/>
    <mergeCell ref="L4:M4"/>
    <mergeCell ref="B5:N5"/>
    <mergeCell ref="B26:F26"/>
    <mergeCell ref="B27:N27"/>
    <mergeCell ref="B49:F49"/>
    <mergeCell ref="B50:F50"/>
    <mergeCell ref="C54:N54"/>
    <mergeCell ref="C55:D55"/>
    <mergeCell ref="E55:F55"/>
    <mergeCell ref="G55:I55"/>
    <mergeCell ref="J55:K55"/>
    <mergeCell ref="G58:I58"/>
    <mergeCell ref="J58:K58"/>
    <mergeCell ref="C56:D56"/>
    <mergeCell ref="E56:F56"/>
    <mergeCell ref="G56:I56"/>
    <mergeCell ref="J56:K56"/>
    <mergeCell ref="C57:D57"/>
    <mergeCell ref="E57:F57"/>
    <mergeCell ref="G57:I57"/>
    <mergeCell ref="J57:K57"/>
  </mergeCells>
  <printOptions/>
  <pageMargins left="0.35" right="0.35" top="0.35" bottom="0.35" header="0.3" footer="0.3"/>
  <pageSetup fitToHeight="0" fitToWidth="1" horizontalDpi="600" verticalDpi="600" orientation="landscape" paperSize="9" scale="73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workbookViewId="0" topLeftCell="B1">
      <selection activeCell="B70" sqref="B70:G70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60.00390625" style="0" customWidth="1"/>
    <col min="4" max="4" width="13.00390625" style="0" customWidth="1"/>
    <col min="5" max="5" width="11.00390625" style="0" customWidth="1"/>
    <col min="6" max="6" width="13.00390625" style="0" customWidth="1"/>
    <col min="7" max="7" width="15.00390625" style="0" customWidth="1"/>
  </cols>
  <sheetData>
    <row r="1" spans="2:7" ht="27.75" customHeight="1">
      <c r="B1" s="55" t="s">
        <v>98</v>
      </c>
      <c r="C1" s="55"/>
      <c r="D1" s="55"/>
      <c r="E1" s="55"/>
      <c r="F1" s="55"/>
      <c r="G1" s="55"/>
    </row>
    <row r="3" spans="1:7" ht="27">
      <c r="A3" s="23"/>
      <c r="B3" s="24" t="s">
        <v>0</v>
      </c>
      <c r="C3" s="24" t="s">
        <v>99</v>
      </c>
      <c r="D3" s="24" t="s">
        <v>100</v>
      </c>
      <c r="E3" s="24" t="s">
        <v>3</v>
      </c>
      <c r="F3" s="24" t="s">
        <v>101</v>
      </c>
      <c r="G3" s="25" t="s">
        <v>11</v>
      </c>
    </row>
    <row r="4" spans="2:7" ht="16.5">
      <c r="B4" s="56" t="s">
        <v>102</v>
      </c>
      <c r="C4" s="56"/>
      <c r="D4" s="56"/>
      <c r="E4" s="56"/>
      <c r="F4" s="56"/>
      <c r="G4" s="56"/>
    </row>
    <row r="5" spans="2:7" ht="12">
      <c r="B5" s="26">
        <v>1</v>
      </c>
      <c r="C5" s="28" t="s">
        <v>103</v>
      </c>
      <c r="D5" s="28" t="s">
        <v>104</v>
      </c>
      <c r="E5" s="29">
        <v>4.98</v>
      </c>
      <c r="F5" s="30">
        <v>278.02</v>
      </c>
      <c r="G5" s="31">
        <f aca="true" t="shared" si="0" ref="G5:G26">E5*F5</f>
        <v>1384.5396</v>
      </c>
    </row>
    <row r="6" spans="2:7" ht="12">
      <c r="B6" s="27">
        <v>2</v>
      </c>
      <c r="C6" s="7" t="s">
        <v>105</v>
      </c>
      <c r="D6" s="7" t="s">
        <v>104</v>
      </c>
      <c r="E6" s="12">
        <v>162.21</v>
      </c>
      <c r="F6" s="14">
        <v>207.79</v>
      </c>
      <c r="G6" s="32">
        <f t="shared" si="0"/>
        <v>33705.6159</v>
      </c>
    </row>
    <row r="7" spans="2:7" ht="12">
      <c r="B7" s="27">
        <v>3</v>
      </c>
      <c r="C7" s="7" t="s">
        <v>106</v>
      </c>
      <c r="D7" s="7" t="s">
        <v>104</v>
      </c>
      <c r="E7" s="12">
        <v>1.45</v>
      </c>
      <c r="F7" s="14">
        <v>246.52</v>
      </c>
      <c r="G7" s="32">
        <f t="shared" si="0"/>
        <v>357.454</v>
      </c>
    </row>
    <row r="8" spans="2:7" ht="12">
      <c r="B8" s="27">
        <v>4</v>
      </c>
      <c r="C8" s="7" t="s">
        <v>107</v>
      </c>
      <c r="D8" s="7" t="s">
        <v>104</v>
      </c>
      <c r="E8" s="12">
        <v>0.78</v>
      </c>
      <c r="F8" s="14">
        <v>246.52</v>
      </c>
      <c r="G8" s="32">
        <f t="shared" si="0"/>
        <v>192.28560000000002</v>
      </c>
    </row>
    <row r="9" spans="2:7" ht="12">
      <c r="B9" s="27">
        <v>5</v>
      </c>
      <c r="C9" s="7" t="s">
        <v>108</v>
      </c>
      <c r="D9" s="7" t="s">
        <v>104</v>
      </c>
      <c r="E9" s="12">
        <v>0.07166667</v>
      </c>
      <c r="F9" s="14">
        <v>225.42</v>
      </c>
      <c r="G9" s="32">
        <f t="shared" si="0"/>
        <v>16.1551007514</v>
      </c>
    </row>
    <row r="10" spans="2:7" ht="12">
      <c r="B10" s="27">
        <v>6</v>
      </c>
      <c r="C10" s="7" t="s">
        <v>109</v>
      </c>
      <c r="D10" s="7" t="s">
        <v>104</v>
      </c>
      <c r="E10" s="12">
        <v>0.07166667</v>
      </c>
      <c r="F10" s="14">
        <v>246.52</v>
      </c>
      <c r="G10" s="32">
        <f t="shared" si="0"/>
        <v>17.6672674884</v>
      </c>
    </row>
    <row r="11" spans="2:7" ht="12">
      <c r="B11" s="27">
        <v>7</v>
      </c>
      <c r="C11" s="7" t="s">
        <v>110</v>
      </c>
      <c r="D11" s="7" t="s">
        <v>104</v>
      </c>
      <c r="E11" s="12">
        <v>6</v>
      </c>
      <c r="F11" s="14">
        <v>278.02</v>
      </c>
      <c r="G11" s="32">
        <f t="shared" si="0"/>
        <v>1668.12</v>
      </c>
    </row>
    <row r="12" spans="2:7" ht="12">
      <c r="B12" s="27">
        <v>8</v>
      </c>
      <c r="C12" s="7" t="s">
        <v>111</v>
      </c>
      <c r="D12" s="7" t="s">
        <v>104</v>
      </c>
      <c r="E12" s="12">
        <v>2.26</v>
      </c>
      <c r="F12" s="14">
        <v>278.02</v>
      </c>
      <c r="G12" s="32">
        <f t="shared" si="0"/>
        <v>628.3251999999999</v>
      </c>
    </row>
    <row r="13" spans="2:7" ht="24">
      <c r="B13" s="27">
        <v>9</v>
      </c>
      <c r="C13" s="7" t="s">
        <v>112</v>
      </c>
      <c r="D13" s="7" t="s">
        <v>104</v>
      </c>
      <c r="E13" s="12">
        <v>0.72</v>
      </c>
      <c r="F13" s="14">
        <v>278.02</v>
      </c>
      <c r="G13" s="32">
        <f t="shared" si="0"/>
        <v>200.1744</v>
      </c>
    </row>
    <row r="14" spans="2:7" ht="12">
      <c r="B14" s="27">
        <v>10</v>
      </c>
      <c r="C14" s="7" t="s">
        <v>113</v>
      </c>
      <c r="D14" s="7" t="s">
        <v>104</v>
      </c>
      <c r="E14" s="12">
        <v>3</v>
      </c>
      <c r="F14" s="14">
        <v>225.42</v>
      </c>
      <c r="G14" s="32">
        <f t="shared" si="0"/>
        <v>676.26</v>
      </c>
    </row>
    <row r="15" spans="2:7" ht="12">
      <c r="B15" s="27">
        <v>11</v>
      </c>
      <c r="C15" s="7" t="s">
        <v>114</v>
      </c>
      <c r="D15" s="7" t="s">
        <v>104</v>
      </c>
      <c r="E15" s="12">
        <v>7.8</v>
      </c>
      <c r="F15" s="14">
        <v>207.79</v>
      </c>
      <c r="G15" s="32">
        <f t="shared" si="0"/>
        <v>1620.762</v>
      </c>
    </row>
    <row r="16" spans="2:7" ht="24">
      <c r="B16" s="27">
        <v>12</v>
      </c>
      <c r="C16" s="7" t="s">
        <v>115</v>
      </c>
      <c r="D16" s="7" t="s">
        <v>104</v>
      </c>
      <c r="E16" s="12">
        <v>201.74519998</v>
      </c>
      <c r="F16" s="14">
        <v>225.42</v>
      </c>
      <c r="G16" s="32">
        <f t="shared" si="0"/>
        <v>45477.4029794916</v>
      </c>
    </row>
    <row r="17" spans="2:7" ht="24">
      <c r="B17" s="27">
        <v>13</v>
      </c>
      <c r="C17" s="7" t="s">
        <v>116</v>
      </c>
      <c r="D17" s="7" t="s">
        <v>104</v>
      </c>
      <c r="E17" s="12">
        <v>8</v>
      </c>
      <c r="F17" s="14">
        <v>278.02</v>
      </c>
      <c r="G17" s="32">
        <f t="shared" si="0"/>
        <v>2224.16</v>
      </c>
    </row>
    <row r="18" spans="2:7" ht="24">
      <c r="B18" s="27">
        <v>14</v>
      </c>
      <c r="C18" s="7" t="s">
        <v>117</v>
      </c>
      <c r="D18" s="7" t="s">
        <v>104</v>
      </c>
      <c r="E18" s="12">
        <v>3.15</v>
      </c>
      <c r="F18" s="14">
        <v>225.42</v>
      </c>
      <c r="G18" s="32">
        <f t="shared" si="0"/>
        <v>710.073</v>
      </c>
    </row>
    <row r="19" spans="2:7" ht="24">
      <c r="B19" s="27">
        <v>15</v>
      </c>
      <c r="C19" s="7" t="s">
        <v>118</v>
      </c>
      <c r="D19" s="7" t="s">
        <v>104</v>
      </c>
      <c r="E19" s="12">
        <v>3.15</v>
      </c>
      <c r="F19" s="14">
        <v>246.52</v>
      </c>
      <c r="G19" s="32">
        <f t="shared" si="0"/>
        <v>776.538</v>
      </c>
    </row>
    <row r="20" spans="2:7" ht="12">
      <c r="B20" s="27">
        <v>16</v>
      </c>
      <c r="C20" s="7" t="s">
        <v>119</v>
      </c>
      <c r="D20" s="7" t="s">
        <v>104</v>
      </c>
      <c r="E20" s="12">
        <v>16.8</v>
      </c>
      <c r="F20" s="14">
        <v>246.52</v>
      </c>
      <c r="G20" s="32">
        <f t="shared" si="0"/>
        <v>4141.536</v>
      </c>
    </row>
    <row r="21" spans="2:7" ht="12">
      <c r="B21" s="27">
        <v>17</v>
      </c>
      <c r="C21" s="7" t="s">
        <v>120</v>
      </c>
      <c r="D21" s="7" t="s">
        <v>104</v>
      </c>
      <c r="E21" s="12">
        <v>10.1</v>
      </c>
      <c r="F21" s="14">
        <v>246.52</v>
      </c>
      <c r="G21" s="32">
        <f t="shared" si="0"/>
        <v>2489.852</v>
      </c>
    </row>
    <row r="22" spans="2:7" ht="12">
      <c r="B22" s="27">
        <v>18</v>
      </c>
      <c r="C22" s="7" t="s">
        <v>121</v>
      </c>
      <c r="D22" s="7" t="s">
        <v>104</v>
      </c>
      <c r="E22" s="12">
        <v>6.7</v>
      </c>
      <c r="F22" s="14">
        <v>225.42</v>
      </c>
      <c r="G22" s="32">
        <f t="shared" si="0"/>
        <v>1510.3139999999999</v>
      </c>
    </row>
    <row r="23" spans="2:7" ht="12">
      <c r="B23" s="27">
        <v>19</v>
      </c>
      <c r="C23" s="7" t="s">
        <v>122</v>
      </c>
      <c r="D23" s="7" t="s">
        <v>104</v>
      </c>
      <c r="E23" s="12">
        <v>6</v>
      </c>
      <c r="F23" s="14">
        <v>278.02</v>
      </c>
      <c r="G23" s="32">
        <f t="shared" si="0"/>
        <v>1668.12</v>
      </c>
    </row>
    <row r="24" spans="2:7" ht="12">
      <c r="B24" s="27">
        <v>20</v>
      </c>
      <c r="C24" s="7" t="s">
        <v>123</v>
      </c>
      <c r="D24" s="7" t="s">
        <v>104</v>
      </c>
      <c r="E24" s="12">
        <v>3.2</v>
      </c>
      <c r="F24" s="14">
        <v>225.42</v>
      </c>
      <c r="G24" s="32">
        <f t="shared" si="0"/>
        <v>721.344</v>
      </c>
    </row>
    <row r="25" spans="2:7" ht="24">
      <c r="B25" s="27">
        <v>21</v>
      </c>
      <c r="C25" s="7" t="s">
        <v>124</v>
      </c>
      <c r="D25" s="7" t="s">
        <v>104</v>
      </c>
      <c r="E25" s="12">
        <v>7.9</v>
      </c>
      <c r="F25" s="14">
        <v>246.52</v>
      </c>
      <c r="G25" s="32">
        <f t="shared" si="0"/>
        <v>1947.5080000000003</v>
      </c>
    </row>
    <row r="26" spans="2:7" ht="24">
      <c r="B26" s="27">
        <v>22</v>
      </c>
      <c r="C26" s="7" t="s">
        <v>125</v>
      </c>
      <c r="D26" s="7" t="s">
        <v>104</v>
      </c>
      <c r="E26" s="12">
        <v>18.25333333</v>
      </c>
      <c r="F26" s="14">
        <v>278.02</v>
      </c>
      <c r="G26" s="32">
        <f t="shared" si="0"/>
        <v>5074.791732406599</v>
      </c>
    </row>
    <row r="27" spans="2:7" ht="12">
      <c r="B27" s="52" t="s">
        <v>126</v>
      </c>
      <c r="C27" s="53"/>
      <c r="D27" s="53"/>
      <c r="E27" s="53"/>
      <c r="F27" s="54"/>
      <c r="G27" s="33">
        <f>SUM(G5:G26)</f>
        <v>107208.99878013799</v>
      </c>
    </row>
    <row r="28" spans="2:7" ht="16.5">
      <c r="B28" s="56" t="s">
        <v>127</v>
      </c>
      <c r="C28" s="56"/>
      <c r="D28" s="56"/>
      <c r="E28" s="56"/>
      <c r="F28" s="56"/>
      <c r="G28" s="56"/>
    </row>
    <row r="29" spans="2:7" ht="12">
      <c r="B29" s="26">
        <v>23</v>
      </c>
      <c r="C29" s="28" t="s">
        <v>128</v>
      </c>
      <c r="D29" s="28" t="s">
        <v>129</v>
      </c>
      <c r="E29" s="29">
        <v>2E-06</v>
      </c>
      <c r="F29" s="30">
        <v>73102.56</v>
      </c>
      <c r="G29" s="31">
        <f aca="true" t="shared" si="1" ref="G29:G58">E29*F29</f>
        <v>0.14620512</v>
      </c>
    </row>
    <row r="30" spans="2:7" ht="24">
      <c r="B30" s="27">
        <v>24</v>
      </c>
      <c r="C30" s="7" t="s">
        <v>130</v>
      </c>
      <c r="D30" s="7" t="s">
        <v>129</v>
      </c>
      <c r="E30" s="12">
        <v>0.005</v>
      </c>
      <c r="F30" s="14">
        <v>134848.932</v>
      </c>
      <c r="G30" s="32">
        <f t="shared" si="1"/>
        <v>674.2446600000001</v>
      </c>
    </row>
    <row r="31" spans="2:7" ht="12">
      <c r="B31" s="27">
        <v>25</v>
      </c>
      <c r="C31" s="7" t="s">
        <v>131</v>
      </c>
      <c r="D31" s="7" t="s">
        <v>132</v>
      </c>
      <c r="E31" s="12">
        <v>0.002</v>
      </c>
      <c r="F31" s="14">
        <v>468.576</v>
      </c>
      <c r="G31" s="32">
        <f t="shared" si="1"/>
        <v>0.9371520000000001</v>
      </c>
    </row>
    <row r="32" spans="2:7" ht="12">
      <c r="B32" s="27">
        <v>26</v>
      </c>
      <c r="C32" s="7" t="s">
        <v>133</v>
      </c>
      <c r="D32" s="7" t="s">
        <v>134</v>
      </c>
      <c r="E32" s="12">
        <v>6.85</v>
      </c>
      <c r="F32" s="14">
        <v>31.644</v>
      </c>
      <c r="G32" s="32">
        <f t="shared" si="1"/>
        <v>216.76139999999998</v>
      </c>
    </row>
    <row r="33" spans="2:7" ht="12">
      <c r="B33" s="27">
        <v>27</v>
      </c>
      <c r="C33" s="7" t="s">
        <v>135</v>
      </c>
      <c r="D33" s="7" t="s">
        <v>129</v>
      </c>
      <c r="E33" s="12">
        <v>2E-05</v>
      </c>
      <c r="F33" s="14">
        <v>252977.268</v>
      </c>
      <c r="G33" s="32">
        <f t="shared" si="1"/>
        <v>5.05954536</v>
      </c>
    </row>
    <row r="34" spans="2:7" ht="12">
      <c r="B34" s="27">
        <v>28</v>
      </c>
      <c r="C34" s="7" t="s">
        <v>136</v>
      </c>
      <c r="D34" s="7" t="s">
        <v>137</v>
      </c>
      <c r="E34" s="12">
        <v>19.2</v>
      </c>
      <c r="F34" s="14">
        <v>0</v>
      </c>
      <c r="G34" s="32">
        <f t="shared" si="1"/>
        <v>0</v>
      </c>
    </row>
    <row r="35" spans="2:7" ht="12">
      <c r="B35" s="27">
        <v>29</v>
      </c>
      <c r="C35" s="7" t="s">
        <v>138</v>
      </c>
      <c r="D35" s="7" t="s">
        <v>134</v>
      </c>
      <c r="E35" s="12">
        <v>0.833</v>
      </c>
      <c r="F35" s="14">
        <v>153.35999999999999</v>
      </c>
      <c r="G35" s="32">
        <f t="shared" si="1"/>
        <v>127.74887999999999</v>
      </c>
    </row>
    <row r="36" spans="2:7" ht="24">
      <c r="B36" s="27">
        <v>30</v>
      </c>
      <c r="C36" s="7" t="s">
        <v>139</v>
      </c>
      <c r="D36" s="7" t="s">
        <v>137</v>
      </c>
      <c r="E36" s="12">
        <v>0.024</v>
      </c>
      <c r="F36" s="14">
        <v>6504.084</v>
      </c>
      <c r="G36" s="32">
        <f t="shared" si="1"/>
        <v>156.098016</v>
      </c>
    </row>
    <row r="37" spans="2:7" ht="12">
      <c r="B37" s="27">
        <v>31</v>
      </c>
      <c r="C37" s="7" t="s">
        <v>140</v>
      </c>
      <c r="D37" s="7" t="s">
        <v>134</v>
      </c>
      <c r="E37" s="12">
        <v>0.208</v>
      </c>
      <c r="F37" s="14">
        <v>1155.552</v>
      </c>
      <c r="G37" s="32">
        <f t="shared" si="1"/>
        <v>240.35481599999997</v>
      </c>
    </row>
    <row r="38" spans="2:7" ht="24">
      <c r="B38" s="27">
        <v>32</v>
      </c>
      <c r="C38" s="7" t="s">
        <v>141</v>
      </c>
      <c r="D38" s="7" t="s">
        <v>129</v>
      </c>
      <c r="E38" s="12">
        <v>0.0012</v>
      </c>
      <c r="F38" s="14">
        <v>83161.932</v>
      </c>
      <c r="G38" s="32">
        <f t="shared" si="1"/>
        <v>99.7943184</v>
      </c>
    </row>
    <row r="39" spans="2:7" ht="24">
      <c r="B39" s="27">
        <v>33</v>
      </c>
      <c r="C39" s="7" t="s">
        <v>142</v>
      </c>
      <c r="D39" s="7" t="s">
        <v>129</v>
      </c>
      <c r="E39" s="12">
        <v>0.00504</v>
      </c>
      <c r="F39" s="14">
        <v>80486.07599999999</v>
      </c>
      <c r="G39" s="32">
        <f t="shared" si="1"/>
        <v>405.64982303999994</v>
      </c>
    </row>
    <row r="40" spans="2:7" ht="24">
      <c r="B40" s="27">
        <v>34</v>
      </c>
      <c r="C40" s="7" t="s">
        <v>143</v>
      </c>
      <c r="D40" s="7" t="s">
        <v>134</v>
      </c>
      <c r="E40" s="12">
        <v>0.2</v>
      </c>
      <c r="F40" s="14">
        <v>136.524</v>
      </c>
      <c r="G40" s="32">
        <f t="shared" si="1"/>
        <v>27.3048</v>
      </c>
    </row>
    <row r="41" spans="2:7" ht="12">
      <c r="B41" s="27">
        <v>35</v>
      </c>
      <c r="C41" s="7" t="s">
        <v>144</v>
      </c>
      <c r="D41" s="7" t="s">
        <v>134</v>
      </c>
      <c r="E41" s="12">
        <v>5</v>
      </c>
      <c r="F41" s="14">
        <v>99.86399999999999</v>
      </c>
      <c r="G41" s="32">
        <f t="shared" si="1"/>
        <v>499.31999999999994</v>
      </c>
    </row>
    <row r="42" spans="2:7" ht="12">
      <c r="B42" s="27">
        <v>36</v>
      </c>
      <c r="C42" s="7" t="s">
        <v>145</v>
      </c>
      <c r="D42" s="7" t="s">
        <v>146</v>
      </c>
      <c r="E42" s="12">
        <v>0.00744</v>
      </c>
      <c r="F42" s="14">
        <v>4610.112</v>
      </c>
      <c r="G42" s="32">
        <f t="shared" si="1"/>
        <v>34.29923328</v>
      </c>
    </row>
    <row r="43" spans="2:7" ht="12">
      <c r="B43" s="27">
        <v>37</v>
      </c>
      <c r="C43" s="7" t="s">
        <v>147</v>
      </c>
      <c r="D43" s="7" t="s">
        <v>134</v>
      </c>
      <c r="E43" s="12">
        <v>4.44</v>
      </c>
      <c r="F43" s="14">
        <v>398.652</v>
      </c>
      <c r="G43" s="32">
        <f t="shared" si="1"/>
        <v>1770.0148800000002</v>
      </c>
    </row>
    <row r="44" spans="2:7" ht="12">
      <c r="B44" s="27">
        <v>38</v>
      </c>
      <c r="C44" s="7" t="s">
        <v>148</v>
      </c>
      <c r="D44" s="7" t="s">
        <v>134</v>
      </c>
      <c r="E44" s="12">
        <v>4.2</v>
      </c>
      <c r="F44" s="14">
        <v>74.196</v>
      </c>
      <c r="G44" s="32">
        <f t="shared" si="1"/>
        <v>311.6232</v>
      </c>
    </row>
    <row r="45" spans="2:7" ht="12">
      <c r="B45" s="27">
        <v>39</v>
      </c>
      <c r="C45" s="7" t="s">
        <v>149</v>
      </c>
      <c r="D45" s="7" t="s">
        <v>150</v>
      </c>
      <c r="E45" s="12">
        <v>13.5</v>
      </c>
      <c r="F45" s="14">
        <v>10.895999999999999</v>
      </c>
      <c r="G45" s="32">
        <f t="shared" si="1"/>
        <v>147.09599999999998</v>
      </c>
    </row>
    <row r="46" spans="2:7" ht="12">
      <c r="B46" s="27">
        <v>40</v>
      </c>
      <c r="C46" s="7" t="s">
        <v>151</v>
      </c>
      <c r="D46" s="7" t="s">
        <v>152</v>
      </c>
      <c r="E46" s="12">
        <v>52.5</v>
      </c>
      <c r="F46" s="14">
        <v>3.852</v>
      </c>
      <c r="G46" s="32">
        <f t="shared" si="1"/>
        <v>202.23</v>
      </c>
    </row>
    <row r="47" spans="2:7" ht="12">
      <c r="B47" s="27">
        <v>41</v>
      </c>
      <c r="C47" s="7" t="s">
        <v>153</v>
      </c>
      <c r="D47" s="7" t="s">
        <v>129</v>
      </c>
      <c r="E47" s="12">
        <v>4E-05</v>
      </c>
      <c r="F47" s="14">
        <v>48495.515999999996</v>
      </c>
      <c r="G47" s="32">
        <f t="shared" si="1"/>
        <v>1.93982064</v>
      </c>
    </row>
    <row r="48" spans="2:7" ht="12">
      <c r="B48" s="27">
        <v>42</v>
      </c>
      <c r="C48" s="7" t="s">
        <v>154</v>
      </c>
      <c r="D48" s="7" t="s">
        <v>150</v>
      </c>
      <c r="E48" s="12">
        <v>1</v>
      </c>
      <c r="F48" s="14">
        <v>26.004</v>
      </c>
      <c r="G48" s="32">
        <f t="shared" si="1"/>
        <v>26.004</v>
      </c>
    </row>
    <row r="49" spans="2:7" ht="12">
      <c r="B49" s="27">
        <v>43</v>
      </c>
      <c r="C49" s="7" t="s">
        <v>155</v>
      </c>
      <c r="D49" s="7" t="s">
        <v>129</v>
      </c>
      <c r="E49" s="12">
        <v>7.96E-06</v>
      </c>
      <c r="F49" s="14">
        <v>51496.57199999999</v>
      </c>
      <c r="G49" s="32">
        <f t="shared" si="1"/>
        <v>0.40991271311999994</v>
      </c>
    </row>
    <row r="50" spans="2:7" ht="12">
      <c r="B50" s="27">
        <v>44</v>
      </c>
      <c r="C50" s="7" t="s">
        <v>156</v>
      </c>
      <c r="D50" s="7" t="s">
        <v>137</v>
      </c>
      <c r="E50" s="12">
        <v>0.008</v>
      </c>
      <c r="F50" s="14">
        <v>2308.008</v>
      </c>
      <c r="G50" s="32">
        <f t="shared" si="1"/>
        <v>18.464064</v>
      </c>
    </row>
    <row r="51" spans="2:7" ht="12">
      <c r="B51" s="27">
        <v>45</v>
      </c>
      <c r="C51" s="7" t="s">
        <v>157</v>
      </c>
      <c r="D51" s="7" t="s">
        <v>134</v>
      </c>
      <c r="E51" s="12">
        <v>2</v>
      </c>
      <c r="F51" s="14">
        <v>185.544</v>
      </c>
      <c r="G51" s="32">
        <f t="shared" si="1"/>
        <v>371.088</v>
      </c>
    </row>
    <row r="52" spans="2:7" ht="12">
      <c r="B52" s="27">
        <v>46</v>
      </c>
      <c r="C52" s="7" t="s">
        <v>158</v>
      </c>
      <c r="D52" s="7" t="s">
        <v>129</v>
      </c>
      <c r="E52" s="12">
        <v>0.0001</v>
      </c>
      <c r="F52" s="14">
        <v>57779.664</v>
      </c>
      <c r="G52" s="32">
        <f t="shared" si="1"/>
        <v>5.7779664</v>
      </c>
    </row>
    <row r="53" spans="2:7" ht="12">
      <c r="B53" s="27">
        <v>47</v>
      </c>
      <c r="C53" s="7" t="s">
        <v>159</v>
      </c>
      <c r="D53" s="7" t="s">
        <v>129</v>
      </c>
      <c r="E53" s="12">
        <v>4E-06</v>
      </c>
      <c r="F53" s="14">
        <v>142200.408</v>
      </c>
      <c r="G53" s="32">
        <f t="shared" si="1"/>
        <v>0.568801632</v>
      </c>
    </row>
    <row r="54" spans="2:7" ht="12">
      <c r="B54" s="27">
        <v>48</v>
      </c>
      <c r="C54" s="7" t="s">
        <v>160</v>
      </c>
      <c r="D54" s="7" t="s">
        <v>132</v>
      </c>
      <c r="E54" s="12">
        <v>1.2</v>
      </c>
      <c r="F54" s="14">
        <v>531.42</v>
      </c>
      <c r="G54" s="32">
        <f t="shared" si="1"/>
        <v>637.704</v>
      </c>
    </row>
    <row r="55" spans="2:7" ht="36">
      <c r="B55" s="27">
        <v>49</v>
      </c>
      <c r="C55" s="7" t="s">
        <v>161</v>
      </c>
      <c r="D55" s="7" t="s">
        <v>162</v>
      </c>
      <c r="E55" s="12">
        <v>4</v>
      </c>
      <c r="F55" s="14">
        <v>401.532</v>
      </c>
      <c r="G55" s="32">
        <f t="shared" si="1"/>
        <v>1606.128</v>
      </c>
    </row>
    <row r="56" spans="2:7" ht="12">
      <c r="B56" s="27">
        <v>50</v>
      </c>
      <c r="C56" s="7" t="s">
        <v>163</v>
      </c>
      <c r="D56" s="7" t="s">
        <v>150</v>
      </c>
      <c r="E56" s="12">
        <v>1</v>
      </c>
      <c r="F56" s="14">
        <v>119.676</v>
      </c>
      <c r="G56" s="32">
        <f t="shared" si="1"/>
        <v>119.676</v>
      </c>
    </row>
    <row r="57" spans="2:7" ht="12">
      <c r="B57" s="27">
        <v>51</v>
      </c>
      <c r="C57" s="7" t="s">
        <v>164</v>
      </c>
      <c r="D57" s="7" t="s">
        <v>150</v>
      </c>
      <c r="E57" s="12">
        <v>1</v>
      </c>
      <c r="F57" s="14">
        <v>130.704</v>
      </c>
      <c r="G57" s="32">
        <f t="shared" si="1"/>
        <v>130.704</v>
      </c>
    </row>
    <row r="58" spans="2:7" ht="12">
      <c r="B58" s="27">
        <v>52</v>
      </c>
      <c r="C58" s="7" t="s">
        <v>165</v>
      </c>
      <c r="D58" s="7" t="s">
        <v>129</v>
      </c>
      <c r="E58" s="12">
        <v>0.001</v>
      </c>
      <c r="F58" s="14">
        <v>96873.37199999999</v>
      </c>
      <c r="G58" s="32">
        <f t="shared" si="1"/>
        <v>96.87337199999999</v>
      </c>
    </row>
    <row r="59" spans="2:7" ht="12">
      <c r="B59" s="52" t="s">
        <v>126</v>
      </c>
      <c r="C59" s="53"/>
      <c r="D59" s="53"/>
      <c r="E59" s="53"/>
      <c r="F59" s="54"/>
      <c r="G59" s="33">
        <f>SUM(G29:G58)</f>
        <v>7934.020866585119</v>
      </c>
    </row>
    <row r="60" spans="2:7" ht="16.5">
      <c r="B60" s="56" t="s">
        <v>166</v>
      </c>
      <c r="C60" s="56"/>
      <c r="D60" s="56"/>
      <c r="E60" s="56"/>
      <c r="F60" s="56"/>
      <c r="G60" s="56"/>
    </row>
    <row r="61" spans="2:7" ht="12">
      <c r="B61" s="26">
        <v>53</v>
      </c>
      <c r="C61" s="28" t="s">
        <v>167</v>
      </c>
      <c r="D61" s="28" t="s">
        <v>150</v>
      </c>
      <c r="E61" s="29">
        <v>0.08957574</v>
      </c>
      <c r="F61" s="30">
        <v>147.6</v>
      </c>
      <c r="G61" s="31">
        <f aca="true" t="shared" si="2" ref="G61:G69">E61*F61</f>
        <v>13.221379224</v>
      </c>
    </row>
    <row r="62" spans="2:7" ht="12">
      <c r="B62" s="27">
        <v>54</v>
      </c>
      <c r="C62" s="7" t="s">
        <v>168</v>
      </c>
      <c r="D62" s="7" t="s">
        <v>150</v>
      </c>
      <c r="E62" s="12">
        <v>0.78884844</v>
      </c>
      <c r="F62" s="14">
        <v>98.39999999999999</v>
      </c>
      <c r="G62" s="32">
        <f t="shared" si="2"/>
        <v>77.62268649599999</v>
      </c>
    </row>
    <row r="63" spans="2:7" ht="12">
      <c r="B63" s="27">
        <v>55</v>
      </c>
      <c r="C63" s="7" t="s">
        <v>169</v>
      </c>
      <c r="D63" s="7" t="s">
        <v>150</v>
      </c>
      <c r="E63" s="12">
        <v>0.0012</v>
      </c>
      <c r="F63" s="14">
        <v>195.816</v>
      </c>
      <c r="G63" s="32">
        <f t="shared" si="2"/>
        <v>0.23497919999999997</v>
      </c>
    </row>
    <row r="64" spans="2:7" ht="12">
      <c r="B64" s="27">
        <v>56</v>
      </c>
      <c r="C64" s="7" t="s">
        <v>170</v>
      </c>
      <c r="D64" s="7" t="s">
        <v>150</v>
      </c>
      <c r="E64" s="12">
        <v>0.03</v>
      </c>
      <c r="F64" s="14">
        <v>186.96</v>
      </c>
      <c r="G64" s="32">
        <f t="shared" si="2"/>
        <v>5.6088000000000005</v>
      </c>
    </row>
    <row r="65" spans="2:7" ht="12">
      <c r="B65" s="27">
        <v>57</v>
      </c>
      <c r="C65" s="7" t="s">
        <v>171</v>
      </c>
      <c r="D65" s="7" t="s">
        <v>150</v>
      </c>
      <c r="E65" s="12">
        <v>4.368</v>
      </c>
      <c r="F65" s="14">
        <v>109.22399999999999</v>
      </c>
      <c r="G65" s="32">
        <f t="shared" si="2"/>
        <v>477.09043199999996</v>
      </c>
    </row>
    <row r="66" spans="2:7" ht="12">
      <c r="B66" s="27">
        <v>58</v>
      </c>
      <c r="C66" s="7" t="s">
        <v>172</v>
      </c>
      <c r="D66" s="7" t="s">
        <v>150</v>
      </c>
      <c r="E66" s="12">
        <v>0.0312</v>
      </c>
      <c r="F66" s="14">
        <v>156.456</v>
      </c>
      <c r="G66" s="32">
        <f t="shared" si="2"/>
        <v>4.881427199999999</v>
      </c>
    </row>
    <row r="67" spans="2:7" ht="12">
      <c r="B67" s="27">
        <v>59</v>
      </c>
      <c r="C67" s="7" t="s">
        <v>173</v>
      </c>
      <c r="D67" s="7" t="s">
        <v>150</v>
      </c>
      <c r="E67" s="12">
        <v>0.03286868</v>
      </c>
      <c r="F67" s="14">
        <v>97.41600000000001</v>
      </c>
      <c r="G67" s="32">
        <f t="shared" si="2"/>
        <v>3.20193533088</v>
      </c>
    </row>
    <row r="68" spans="2:7" ht="12">
      <c r="B68" s="27">
        <v>60</v>
      </c>
      <c r="C68" s="7" t="s">
        <v>174</v>
      </c>
      <c r="D68" s="7" t="s">
        <v>150</v>
      </c>
      <c r="E68" s="12">
        <v>0.0341919</v>
      </c>
      <c r="F68" s="14">
        <v>127.91999999999999</v>
      </c>
      <c r="G68" s="32">
        <f t="shared" si="2"/>
        <v>4.3738278479999995</v>
      </c>
    </row>
    <row r="69" spans="2:7" ht="12">
      <c r="B69" s="27">
        <v>61</v>
      </c>
      <c r="C69" s="7" t="s">
        <v>175</v>
      </c>
      <c r="D69" s="7" t="s">
        <v>150</v>
      </c>
      <c r="E69" s="12">
        <v>0.00338384</v>
      </c>
      <c r="F69" s="14">
        <v>322.75199999999995</v>
      </c>
      <c r="G69" s="32">
        <f t="shared" si="2"/>
        <v>1.0921411276799997</v>
      </c>
    </row>
    <row r="70" spans="2:7" ht="12">
      <c r="B70" s="52" t="s">
        <v>126</v>
      </c>
      <c r="C70" s="53"/>
      <c r="D70" s="53"/>
      <c r="E70" s="53"/>
      <c r="F70" s="54"/>
      <c r="G70" s="33">
        <f>SUM(G61:G69)</f>
        <v>587.3276084265599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B70:F70"/>
    <mergeCell ref="B1:G1"/>
    <mergeCell ref="B4:G4"/>
    <mergeCell ref="B27:F27"/>
    <mergeCell ref="B28:G28"/>
    <mergeCell ref="B59:F59"/>
    <mergeCell ref="B60:G60"/>
  </mergeCells>
  <printOptions/>
  <pageMargins left="0.35" right="0.35" top="0.35" bottom="0.35" header="0.3" footer="0.3"/>
  <pageSetup fitToHeight="0" fitToWidth="1" horizontalDpi="600" verticalDpi="600" orientation="portrait" paperSize="9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Ð¡Ð¼ÐµÑ‚Ð° Ñ€Ð°ÑÑ…Ð¾Ð´Ð¾Ð²</dc:title>
  <dc:subject>Ð¡Ð¼ÐµÑ‚Ð° Ñ€Ð°ÑÑ…Ð¾Ð´Ð¾Ð²</dc:subject>
  <dc:creator>ÐœÐšÐ”-Ñ€Ð°ÑÑ‡ÐµÑ‚. Ð¦ÐµÐ½Ñ‚Ñ€ Ð¼ÑƒÐ½Ð¸Ñ†Ð¸Ð¿Ð°Ð»ÑŒÐ½Ð¾Ð¹ ÑÐºÐ¾Ð½Ð¾Ð¼Ð¸ÐºÐ¸ Ð¸ Ð¿Ñ€Ð°Ð²Ð°</dc:creator>
  <cp:keywords>ÑÐ¼ÐµÑ‚Ð° Ñ€Ð°ÑÑ‡ÐµÑ‚ Ð¶ÐºÑ…</cp:keywords>
  <dc:description>Ð¡Ð¼ÐµÑ‚Ð° Ñ€Ð°ÑÑ…Ð¾Ð´Ð¾Ð² Ð²ÐºÐ»ÑŽÑ‡Ð°ÐµÑ‚ Ð¿ÐµÑ€ÐµÑ‡ÐµÐ½ÑŒ Ñ€Ð°Ð±Ð¾Ñ‚ Ð¸ Ð¿ÐµÑ€ÐµÑ‡ÐµÐ½ÑŒ Ñ€ÐµÑÑƒÑ€ÑÐ¾Ð²</dc:description>
  <cp:lastModifiedBy>1</cp:lastModifiedBy>
  <cp:lastPrinted>2019-01-29T15:00:03Z</cp:lastPrinted>
  <dcterms:created xsi:type="dcterms:W3CDTF">2019-01-29T12:38:03Z</dcterms:created>
  <dcterms:modified xsi:type="dcterms:W3CDTF">2019-04-18T11:37:15Z</dcterms:modified>
  <cp:category>ÑÐ¼ÐµÑ‚Ð°</cp:category>
  <cp:version/>
  <cp:contentType/>
  <cp:contentStatus/>
</cp:coreProperties>
</file>